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82E242CE-83FD-4C94-B84E-C6D0AD9BBE8D}" xr6:coauthVersionLast="31" xr6:coauthVersionMax="31" xr10:uidLastSave="{00000000-0000-0000-0000-000000000000}"/>
  <bookViews>
    <workbookView xWindow="0" yWindow="0" windowWidth="20400" windowHeight="9045"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workbook>
</file>

<file path=xl/calcChain.xml><?xml version="1.0" encoding="utf-8"?>
<calcChain xmlns="http://schemas.openxmlformats.org/spreadsheetml/2006/main">
  <c r="P286" i="72" l="1"/>
  <c r="O286" i="72"/>
  <c r="I21" i="75" l="1"/>
  <c r="I20" i="75"/>
  <c r="I22" i="75"/>
  <c r="I23" i="75" l="1"/>
  <c r="I24" i="75"/>
  <c r="I25" i="75"/>
  <c r="I26" i="75"/>
  <c r="I27" i="75"/>
  <c r="I28" i="75"/>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Q1972"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R1918" i="93" l="1"/>
  <c r="Q1828" i="93"/>
  <c r="Q1766" i="93"/>
  <c r="R1968"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M1560"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D1064" i="93"/>
  <c r="C1064" i="93"/>
  <c r="B1064" i="93"/>
  <c r="F1062" i="93"/>
  <c r="E1062" i="93"/>
  <c r="D1062" i="93"/>
  <c r="C1062" i="93"/>
  <c r="B1062" i="93"/>
  <c r="F1061" i="93"/>
  <c r="E1061" i="93"/>
  <c r="D1061" i="93"/>
  <c r="C1061" i="93"/>
  <c r="B1061"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J976" i="93"/>
  <c r="I976" i="93"/>
  <c r="H976" i="93"/>
  <c r="G976" i="93"/>
  <c r="F976" i="93"/>
  <c r="E976" i="93"/>
  <c r="D976" i="93"/>
  <c r="C976" i="93"/>
  <c r="B976"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J916" i="93" s="1"/>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P898" i="93" s="1"/>
  <c r="O897" i="93"/>
  <c r="N897" i="93"/>
  <c r="M897" i="93"/>
  <c r="L897" i="93"/>
  <c r="K897" i="93"/>
  <c r="J897" i="93"/>
  <c r="I897" i="93"/>
  <c r="H897" i="93"/>
  <c r="H898" i="93" s="1"/>
  <c r="G897" i="93"/>
  <c r="P896" i="93"/>
  <c r="O896" i="93"/>
  <c r="N896" i="93"/>
  <c r="M896" i="93"/>
  <c r="L896" i="93"/>
  <c r="K896" i="93"/>
  <c r="J896" i="93"/>
  <c r="I896" i="93"/>
  <c r="H896" i="93"/>
  <c r="G896" i="93"/>
  <c r="P893" i="93"/>
  <c r="O893" i="93"/>
  <c r="N893" i="93"/>
  <c r="M893" i="93"/>
  <c r="L893" i="93"/>
  <c r="L894" i="93" s="1"/>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I889" i="93" s="1"/>
  <c r="H888" i="93"/>
  <c r="G888" i="93"/>
  <c r="P887" i="93"/>
  <c r="O887" i="93"/>
  <c r="O889" i="93" s="1"/>
  <c r="N887" i="93"/>
  <c r="M887" i="93"/>
  <c r="L887" i="93"/>
  <c r="K887" i="93"/>
  <c r="J887" i="93"/>
  <c r="I887" i="93"/>
  <c r="H887" i="93"/>
  <c r="G887" i="93"/>
  <c r="G889" i="93" s="1"/>
  <c r="H883" i="93"/>
  <c r="I883" i="93"/>
  <c r="J883" i="93"/>
  <c r="K883" i="93"/>
  <c r="L883" i="93"/>
  <c r="L885" i="93" s="1"/>
  <c r="M883" i="93"/>
  <c r="N883" i="93"/>
  <c r="O883" i="93"/>
  <c r="P883" i="93"/>
  <c r="H884" i="93"/>
  <c r="I884" i="93"/>
  <c r="J884" i="93"/>
  <c r="K884" i="93"/>
  <c r="L884" i="93"/>
  <c r="M884" i="93"/>
  <c r="M885" i="93" s="1"/>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GA789" i="93" s="1"/>
  <c r="P788" i="93"/>
  <c r="P787" i="93"/>
  <c r="P786" i="93"/>
  <c r="P785" i="93"/>
  <c r="P784" i="93"/>
  <c r="P783" i="93"/>
  <c r="GH783" i="93" s="1"/>
  <c r="P782" i="93"/>
  <c r="P781" i="93"/>
  <c r="GZ781" i="93" s="1"/>
  <c r="P780" i="93"/>
  <c r="HZ780" i="93" s="1"/>
  <c r="P779" i="93"/>
  <c r="P778" i="93"/>
  <c r="P777" i="93"/>
  <c r="P776" i="93"/>
  <c r="P775" i="93"/>
  <c r="P774" i="93"/>
  <c r="P773" i="93"/>
  <c r="P772" i="93"/>
  <c r="P771" i="93"/>
  <c r="P770" i="93"/>
  <c r="P769" i="93"/>
  <c r="P768" i="93"/>
  <c r="P767" i="93"/>
  <c r="FT767" i="93" s="1"/>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BX799" i="93" s="1"/>
  <c r="M798" i="93"/>
  <c r="M797" i="93"/>
  <c r="M796" i="93"/>
  <c r="M795" i="93"/>
  <c r="M794" i="93"/>
  <c r="M793" i="93"/>
  <c r="M792" i="93"/>
  <c r="M791" i="93"/>
  <c r="CP791" i="93" s="1"/>
  <c r="M790" i="93"/>
  <c r="M789" i="93"/>
  <c r="M788" i="93"/>
  <c r="M787" i="93"/>
  <c r="M786" i="93"/>
  <c r="M785" i="93"/>
  <c r="M784" i="93"/>
  <c r="M783" i="93"/>
  <c r="DN783" i="93" s="1"/>
  <c r="M782" i="93"/>
  <c r="M781" i="93"/>
  <c r="M780" i="93"/>
  <c r="M779" i="93"/>
  <c r="M778" i="93"/>
  <c r="M777" i="93"/>
  <c r="M776" i="93"/>
  <c r="M775" i="93"/>
  <c r="II775" i="93" s="1"/>
  <c r="M774" i="93"/>
  <c r="M773" i="93"/>
  <c r="M772" i="93"/>
  <c r="M771" i="93"/>
  <c r="M770" i="93"/>
  <c r="M769" i="93"/>
  <c r="M768" i="93"/>
  <c r="M767" i="93"/>
  <c r="DB767" i="93" s="1"/>
  <c r="J804" i="93"/>
  <c r="J803" i="93"/>
  <c r="J802" i="93"/>
  <c r="J801" i="93"/>
  <c r="J800" i="93"/>
  <c r="J799" i="93"/>
  <c r="J798" i="93"/>
  <c r="J797" i="93"/>
  <c r="J796" i="93"/>
  <c r="J795" i="93"/>
  <c r="J794" i="93"/>
  <c r="J793" i="93"/>
  <c r="J792" i="93"/>
  <c r="J791" i="93"/>
  <c r="J790" i="93"/>
  <c r="J789" i="93"/>
  <c r="BI789" i="93" s="1"/>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EY801" i="93" s="1"/>
  <c r="C800" i="93"/>
  <c r="C799" i="93"/>
  <c r="C798" i="93"/>
  <c r="C797" i="93"/>
  <c r="C796" i="93"/>
  <c r="C795" i="93"/>
  <c r="C794" i="93"/>
  <c r="EW794" i="93" s="1"/>
  <c r="C793" i="93"/>
  <c r="EZ793" i="93" s="1"/>
  <c r="C792" i="93"/>
  <c r="C791" i="93"/>
  <c r="C790" i="93"/>
  <c r="C789" i="93"/>
  <c r="C788" i="93"/>
  <c r="C787" i="93"/>
  <c r="FB787" i="93" s="1"/>
  <c r="C786" i="93"/>
  <c r="C785" i="93"/>
  <c r="FE785" i="93" s="1"/>
  <c r="C784" i="93"/>
  <c r="IC784" i="93" s="1"/>
  <c r="C783" i="93"/>
  <c r="C782" i="93"/>
  <c r="C781" i="93"/>
  <c r="C780" i="93"/>
  <c r="C779" i="93"/>
  <c r="C778" i="93"/>
  <c r="C777" i="93"/>
  <c r="GZ777" i="93" s="1"/>
  <c r="C776" i="93"/>
  <c r="C775" i="93"/>
  <c r="C774" i="93"/>
  <c r="C773" i="93"/>
  <c r="C772" i="93"/>
  <c r="EY772" i="93" s="1"/>
  <c r="C771" i="93"/>
  <c r="HZ771" i="93" s="1"/>
  <c r="C770" i="93"/>
  <c r="C769" i="93"/>
  <c r="EW769" i="93" s="1"/>
  <c r="C768" i="93"/>
  <c r="EX768" i="93" s="1"/>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II767" i="93" s="1"/>
  <c r="F763" i="93"/>
  <c r="G762" i="93"/>
  <c r="R918" i="93"/>
  <c r="R913" i="93"/>
  <c r="S909" i="93"/>
  <c r="R904" i="93"/>
  <c r="S900" i="93"/>
  <c r="R895" i="93"/>
  <c r="S891" i="93"/>
  <c r="R886" i="93"/>
  <c r="R882" i="93"/>
  <c r="R881" i="93"/>
  <c r="R879" i="93"/>
  <c r="R869" i="93"/>
  <c r="R860" i="93"/>
  <c r="R842" i="93"/>
  <c r="R828" i="93"/>
  <c r="R824" i="93"/>
  <c r="R820" i="93"/>
  <c r="R810" i="93"/>
  <c r="JR805" i="93"/>
  <c r="EZ801" i="93"/>
  <c r="FA799" i="93"/>
  <c r="EZ799" i="93"/>
  <c r="EY799" i="93"/>
  <c r="EX799" i="93"/>
  <c r="EW799" i="93"/>
  <c r="DG799" i="93"/>
  <c r="CZ799" i="93"/>
  <c r="CE799" i="93"/>
  <c r="BY799" i="93"/>
  <c r="BW799" i="93"/>
  <c r="AI799" i="93"/>
  <c r="X799" i="93"/>
  <c r="FW797" i="93"/>
  <c r="CV795" i="93"/>
  <c r="FA793" i="93"/>
  <c r="EW793" i="93"/>
  <c r="IM791" i="93"/>
  <c r="IH791" i="93"/>
  <c r="IF791" i="93"/>
  <c r="EZ791" i="93"/>
  <c r="EY791" i="93"/>
  <c r="EX791" i="93"/>
  <c r="EW791" i="93"/>
  <c r="DB791" i="93"/>
  <c r="DA791" i="93"/>
  <c r="CZ791" i="93"/>
  <c r="CY791" i="93"/>
  <c r="CI791" i="93"/>
  <c r="CB791" i="93"/>
  <c r="BZ791" i="93"/>
  <c r="BY791" i="93"/>
  <c r="BW791" i="93"/>
  <c r="AN791" i="93"/>
  <c r="AF791" i="93"/>
  <c r="AA791" i="93"/>
  <c r="Z791" i="93"/>
  <c r="GV789" i="93"/>
  <c r="AL789" i="93"/>
  <c r="EX787" i="93"/>
  <c r="HA785" i="93"/>
  <c r="GY785" i="93"/>
  <c r="FA785" i="93"/>
  <c r="EY785" i="93"/>
  <c r="EX785" i="93"/>
  <c r="EW785" i="93"/>
  <c r="CH785" i="93"/>
  <c r="IK783" i="93"/>
  <c r="IF783" i="93"/>
  <c r="HT783" i="93"/>
  <c r="HK783" i="93"/>
  <c r="GP783" i="93"/>
  <c r="FF783" i="93"/>
  <c r="FA783" i="93"/>
  <c r="EZ783" i="93"/>
  <c r="EY783" i="93"/>
  <c r="EX783" i="93"/>
  <c r="EW783" i="93"/>
  <c r="DC783" i="93"/>
  <c r="DA783" i="93"/>
  <c r="CZ783" i="93"/>
  <c r="CY783" i="93"/>
  <c r="CS783" i="93"/>
  <c r="CL783" i="93"/>
  <c r="CG783" i="93"/>
  <c r="CC783" i="93"/>
  <c r="CB783" i="93"/>
  <c r="BY783" i="93"/>
  <c r="BV783" i="93"/>
  <c r="AN783" i="93"/>
  <c r="AL783" i="93"/>
  <c r="AH783" i="93"/>
  <c r="AG783" i="93"/>
  <c r="X783" i="93"/>
  <c r="GK781" i="93"/>
  <c r="CP781" i="93"/>
  <c r="CO781" i="93"/>
  <c r="AI781" i="93"/>
  <c r="HA777" i="93"/>
  <c r="GC777" i="93"/>
  <c r="EX777" i="93"/>
  <c r="EW777" i="93"/>
  <c r="IM775" i="93"/>
  <c r="CY775" i="93"/>
  <c r="CM775" i="93"/>
  <c r="BY775" i="93"/>
  <c r="BW775" i="93"/>
  <c r="BV775" i="93"/>
  <c r="HI769" i="93"/>
  <c r="FM769" i="93"/>
  <c r="FA769" i="93"/>
  <c r="EZ769" i="93"/>
  <c r="EX769" i="93"/>
  <c r="BZ769" i="93"/>
  <c r="IL767" i="93"/>
  <c r="IK767" i="93"/>
  <c r="IJ767" i="93"/>
  <c r="ID767" i="93"/>
  <c r="HM767" i="93"/>
  <c r="HE767" i="93"/>
  <c r="FA767" i="93"/>
  <c r="EZ767" i="93"/>
  <c r="EX767" i="93"/>
  <c r="EW767" i="93"/>
  <c r="EQ767" i="93"/>
  <c r="DC767" i="93"/>
  <c r="CZ767" i="93"/>
  <c r="CR767" i="93"/>
  <c r="CQ767" i="93"/>
  <c r="CP767" i="93"/>
  <c r="CJ767" i="93"/>
  <c r="CI767" i="93"/>
  <c r="CH767" i="93"/>
  <c r="CA767" i="93"/>
  <c r="BZ767" i="93"/>
  <c r="BY767" i="93"/>
  <c r="BV767" i="93"/>
  <c r="U760" i="93"/>
  <c r="A758" i="93"/>
  <c r="U758" i="93" s="1"/>
  <c r="CC767" i="93" l="1"/>
  <c r="CK767" i="93"/>
  <c r="CS767" i="93"/>
  <c r="IE767" i="93"/>
  <c r="IM767" i="93"/>
  <c r="HM787" i="93"/>
  <c r="BU767" i="93"/>
  <c r="CD767" i="93"/>
  <c r="CL767" i="93"/>
  <c r="CY767" i="93"/>
  <c r="IF767" i="93"/>
  <c r="GN769" i="93"/>
  <c r="CO775" i="93"/>
  <c r="BU783" i="93"/>
  <c r="CH783" i="93"/>
  <c r="DB783" i="93"/>
  <c r="IG783" i="93"/>
  <c r="EZ785" i="93"/>
  <c r="HQ787" i="93"/>
  <c r="AI791" i="93"/>
  <c r="CH791" i="93"/>
  <c r="DC791" i="93"/>
  <c r="CP793" i="93"/>
  <c r="AA799" i="93"/>
  <c r="CR799" i="93"/>
  <c r="CE767" i="93"/>
  <c r="CM767" i="93"/>
  <c r="IG767" i="93"/>
  <c r="BW767" i="93"/>
  <c r="CF767" i="93"/>
  <c r="CN767" i="93"/>
  <c r="DA767" i="93"/>
  <c r="FQ767" i="93"/>
  <c r="IH767" i="93"/>
  <c r="CI769" i="93"/>
  <c r="AH775" i="93"/>
  <c r="ID775" i="93"/>
  <c r="FP780" i="93"/>
  <c r="AB783" i="93"/>
  <c r="BW783" i="93"/>
  <c r="CN783" i="93"/>
  <c r="DJ783" i="93"/>
  <c r="FM783" i="93"/>
  <c r="IL783" i="93"/>
  <c r="FB785" i="93"/>
  <c r="BU791" i="93"/>
  <c r="CN791" i="93"/>
  <c r="EY793" i="93"/>
  <c r="AJ799" i="93"/>
  <c r="DA799" i="93"/>
  <c r="ID799" i="93"/>
  <c r="HC780" i="93"/>
  <c r="HA788" i="93"/>
  <c r="DC804" i="93"/>
  <c r="FI768" i="93"/>
  <c r="FJ776" i="93"/>
  <c r="HA784" i="93"/>
  <c r="J894" i="93"/>
  <c r="J903" i="93"/>
  <c r="BX767" i="93"/>
  <c r="CG767" i="93"/>
  <c r="CO767" i="93"/>
  <c r="AM775" i="93"/>
  <c r="AC783" i="93"/>
  <c r="BX783" i="93"/>
  <c r="CR783" i="93"/>
  <c r="BV791" i="93"/>
  <c r="BU799" i="93"/>
  <c r="DB799" i="93"/>
  <c r="IX769" i="93"/>
  <c r="GH781" i="93"/>
  <c r="HA789" i="93"/>
  <c r="JL801" i="93"/>
  <c r="BB787" i="93"/>
  <c r="CC795" i="93"/>
  <c r="DS767" i="93"/>
  <c r="IW783" i="93"/>
  <c r="HY769" i="93"/>
  <c r="HK777" i="93"/>
  <c r="GO785" i="93"/>
  <c r="N885" i="93"/>
  <c r="K894" i="93"/>
  <c r="G898" i="93"/>
  <c r="O898" i="93"/>
  <c r="K903" i="93"/>
  <c r="G907" i="93"/>
  <c r="O907" i="93"/>
  <c r="H912" i="93"/>
  <c r="N1477" i="93"/>
  <c r="IH799" i="93"/>
  <c r="GC780" i="93"/>
  <c r="GB804" i="93"/>
  <c r="EA791" i="93"/>
  <c r="DS791" i="93"/>
  <c r="JK791" i="93"/>
  <c r="IV791" i="93"/>
  <c r="EV791" i="93"/>
  <c r="EH791" i="93"/>
  <c r="EF791" i="93"/>
  <c r="FU768" i="93"/>
  <c r="FM777" i="93"/>
  <c r="IA777" i="93"/>
  <c r="HA780" i="93"/>
  <c r="BB781" i="93"/>
  <c r="FD781" i="93"/>
  <c r="HX781" i="93"/>
  <c r="FZ785" i="93"/>
  <c r="HW785" i="93"/>
  <c r="EZ788" i="93"/>
  <c r="CK789" i="93"/>
  <c r="HW789" i="93"/>
  <c r="HF768" i="93"/>
  <c r="FF776" i="93"/>
  <c r="HV784" i="93"/>
  <c r="DY785" i="93"/>
  <c r="CA785" i="93"/>
  <c r="IJ785" i="93"/>
  <c r="AK785" i="93"/>
  <c r="II785" i="93"/>
  <c r="AD785" i="93"/>
  <c r="EY797" i="93"/>
  <c r="HZ797" i="93"/>
  <c r="HN797" i="93"/>
  <c r="FD797" i="93"/>
  <c r="CX797" i="93"/>
  <c r="BC797" i="93"/>
  <c r="JP785" i="93"/>
  <c r="JH785" i="93"/>
  <c r="IU767" i="93"/>
  <c r="DV767" i="93"/>
  <c r="ET767" i="93"/>
  <c r="DT767" i="93"/>
  <c r="IZ767" i="93"/>
  <c r="EL767" i="93"/>
  <c r="DK767" i="93"/>
  <c r="IS767" i="93"/>
  <c r="EJ767" i="93"/>
  <c r="DD767" i="93"/>
  <c r="IR767" i="93"/>
  <c r="ED767" i="93"/>
  <c r="IY799" i="93"/>
  <c r="DW799" i="93"/>
  <c r="DP799" i="93"/>
  <c r="HL793" i="93"/>
  <c r="GQ793" i="93"/>
  <c r="GP793" i="93"/>
  <c r="HY793" i="93"/>
  <c r="FO793" i="93"/>
  <c r="HM793" i="93"/>
  <c r="FJ793" i="93"/>
  <c r="HK793" i="93"/>
  <c r="FH793" i="93"/>
  <c r="GX793" i="93"/>
  <c r="EA767" i="93"/>
  <c r="GO768" i="93"/>
  <c r="GB777" i="93"/>
  <c r="CY780" i="93"/>
  <c r="BQ781" i="93"/>
  <c r="FR781" i="93"/>
  <c r="HY781" i="93"/>
  <c r="FM784" i="93"/>
  <c r="GA785" i="93"/>
  <c r="HZ785" i="93"/>
  <c r="GU788" i="93"/>
  <c r="EX789" i="93"/>
  <c r="GF793" i="93"/>
  <c r="HL780" i="93"/>
  <c r="GM780" i="93"/>
  <c r="FN780" i="93"/>
  <c r="CX780" i="93"/>
  <c r="HH780" i="93"/>
  <c r="GK780" i="93"/>
  <c r="FL780" i="93"/>
  <c r="BV780" i="93"/>
  <c r="HX780" i="93"/>
  <c r="GX780" i="93"/>
  <c r="GB780" i="93"/>
  <c r="FB780" i="93"/>
  <c r="HU780" i="93"/>
  <c r="GV780" i="93"/>
  <c r="FW780" i="93"/>
  <c r="EZ780" i="93"/>
  <c r="HN780" i="93"/>
  <c r="GO780" i="93"/>
  <c r="FR780" i="93"/>
  <c r="CZ780" i="93"/>
  <c r="FJ796" i="93"/>
  <c r="FW796" i="93"/>
  <c r="FA796" i="93"/>
  <c r="GX796" i="93"/>
  <c r="HA768" i="93"/>
  <c r="FD780" i="93"/>
  <c r="HM780" i="93"/>
  <c r="BR781" i="93"/>
  <c r="GB781" i="93"/>
  <c r="IL781" i="93"/>
  <c r="GS784" i="93"/>
  <c r="GM785" i="93"/>
  <c r="JL785" i="93"/>
  <c r="FA789" i="93"/>
  <c r="GH793" i="93"/>
  <c r="ER767" i="93"/>
  <c r="HM768" i="93"/>
  <c r="FN769" i="93"/>
  <c r="GL777" i="93"/>
  <c r="FE780" i="93"/>
  <c r="HY780" i="93"/>
  <c r="CE781" i="93"/>
  <c r="AH789" i="93"/>
  <c r="FY789" i="93"/>
  <c r="EF803" i="93"/>
  <c r="IG781" i="93"/>
  <c r="HH781" i="93"/>
  <c r="GJ781" i="93"/>
  <c r="FM781" i="93"/>
  <c r="CX781" i="93"/>
  <c r="BY781" i="93"/>
  <c r="BA781" i="93"/>
  <c r="AD781" i="93"/>
  <c r="IE781" i="93"/>
  <c r="HF781" i="93"/>
  <c r="GI781" i="93"/>
  <c r="FJ781" i="93"/>
  <c r="CV781" i="93"/>
  <c r="BW781" i="93"/>
  <c r="AZ781" i="93"/>
  <c r="AA781" i="93"/>
  <c r="HV781" i="93"/>
  <c r="GY781" i="93"/>
  <c r="FU781" i="93"/>
  <c r="FB781" i="93"/>
  <c r="CM781" i="93"/>
  <c r="BP781" i="93"/>
  <c r="AL781" i="93"/>
  <c r="HQ781" i="93"/>
  <c r="GS781" i="93"/>
  <c r="FT781" i="93"/>
  <c r="EW781" i="93"/>
  <c r="CH781" i="93"/>
  <c r="BJ781" i="93"/>
  <c r="AK781" i="93"/>
  <c r="HP781" i="93"/>
  <c r="GP781" i="93"/>
  <c r="FS781" i="93"/>
  <c r="DF781" i="93"/>
  <c r="CG781" i="93"/>
  <c r="BG781" i="93"/>
  <c r="AJ781" i="93"/>
  <c r="EO787" i="93"/>
  <c r="BV787" i="93"/>
  <c r="JA783" i="93"/>
  <c r="DZ783" i="93"/>
  <c r="JB783" i="93"/>
  <c r="DT783" i="93"/>
  <c r="EK783" i="93"/>
  <c r="DI783" i="93"/>
  <c r="EJ783" i="93"/>
  <c r="DE783" i="93"/>
  <c r="EF783" i="93"/>
  <c r="HY785" i="93"/>
  <c r="IB785" i="93"/>
  <c r="HQ785" i="93"/>
  <c r="HC785" i="93"/>
  <c r="GQ785" i="93"/>
  <c r="GF785" i="93"/>
  <c r="FR785" i="93"/>
  <c r="FG785" i="93"/>
  <c r="IA785" i="93"/>
  <c r="HN785" i="93"/>
  <c r="HB785" i="93"/>
  <c r="GP785" i="93"/>
  <c r="GD785" i="93"/>
  <c r="FQ785" i="93"/>
  <c r="FF785" i="93"/>
  <c r="HU785" i="93"/>
  <c r="HJ785" i="93"/>
  <c r="GX785" i="93"/>
  <c r="GK785" i="93"/>
  <c r="FY785" i="93"/>
  <c r="FN785" i="93"/>
  <c r="HR785" i="93"/>
  <c r="GS785" i="93"/>
  <c r="GG785" i="93"/>
  <c r="FH785" i="93"/>
  <c r="HT785" i="93"/>
  <c r="HI785" i="93"/>
  <c r="GV785" i="93"/>
  <c r="GI785" i="93"/>
  <c r="FX785" i="93"/>
  <c r="FK785" i="93"/>
  <c r="HS785" i="93"/>
  <c r="HG785" i="93"/>
  <c r="GT785" i="93"/>
  <c r="GH785" i="93"/>
  <c r="FW785" i="93"/>
  <c r="FI785" i="93"/>
  <c r="IC785" i="93"/>
  <c r="HE785" i="93"/>
  <c r="FU785" i="93"/>
  <c r="ED783" i="93"/>
  <c r="DI785" i="93"/>
  <c r="FO785" i="93"/>
  <c r="HK785" i="93"/>
  <c r="BL789" i="93"/>
  <c r="HB797" i="93"/>
  <c r="HR788" i="93"/>
  <c r="HP788" i="93"/>
  <c r="FQ788" i="93"/>
  <c r="HB788" i="93"/>
  <c r="FC788" i="93"/>
  <c r="GM788" i="93"/>
  <c r="CX788" i="93"/>
  <c r="HW788" i="93"/>
  <c r="GB788" i="93"/>
  <c r="FT788" i="93"/>
  <c r="FW788" i="93"/>
  <c r="IF789" i="93"/>
  <c r="HD789" i="93"/>
  <c r="GH789" i="93"/>
  <c r="FK789" i="93"/>
  <c r="CP789" i="93"/>
  <c r="BS789" i="93"/>
  <c r="AT789" i="93"/>
  <c r="IB789" i="93"/>
  <c r="HB789" i="93"/>
  <c r="GC789" i="93"/>
  <c r="FE789" i="93"/>
  <c r="CO789" i="93"/>
  <c r="BQ789" i="93"/>
  <c r="AO789" i="93"/>
  <c r="HQ789" i="93"/>
  <c r="GT789" i="93"/>
  <c r="FS789" i="93"/>
  <c r="DB789" i="93"/>
  <c r="CE789" i="93"/>
  <c r="BD789" i="93"/>
  <c r="AG789" i="93"/>
  <c r="IL789" i="93"/>
  <c r="HP789" i="93"/>
  <c r="GQ789" i="93"/>
  <c r="FP789" i="93"/>
  <c r="DA789" i="93"/>
  <c r="BY789" i="93"/>
  <c r="BC789" i="93"/>
  <c r="AF789" i="93"/>
  <c r="IH789" i="93"/>
  <c r="HI789" i="93"/>
  <c r="GI789" i="93"/>
  <c r="CR789" i="93"/>
  <c r="BV789" i="93"/>
  <c r="IK789" i="93"/>
  <c r="HN789" i="93"/>
  <c r="GK789" i="93"/>
  <c r="FN789" i="93"/>
  <c r="CY789" i="93"/>
  <c r="BW789" i="93"/>
  <c r="AY789" i="93"/>
  <c r="AA789" i="93"/>
  <c r="FM789" i="93"/>
  <c r="AX789" i="93"/>
  <c r="EL775" i="93"/>
  <c r="EC775" i="93"/>
  <c r="HT769" i="93"/>
  <c r="GK769" i="93"/>
  <c r="IB769" i="93"/>
  <c r="FU769" i="93"/>
  <c r="HA769" i="93"/>
  <c r="FH769" i="93"/>
  <c r="GV769" i="93"/>
  <c r="FF769" i="93"/>
  <c r="GS769" i="93"/>
  <c r="HY777" i="93"/>
  <c r="HI777" i="93"/>
  <c r="GJ777" i="93"/>
  <c r="FL777" i="93"/>
  <c r="HC777" i="93"/>
  <c r="GE777" i="93"/>
  <c r="FG777" i="93"/>
  <c r="HR777" i="93"/>
  <c r="GU777" i="93"/>
  <c r="FW777" i="93"/>
  <c r="HQ777" i="93"/>
  <c r="GS777" i="93"/>
  <c r="FU777" i="93"/>
  <c r="HP777" i="93"/>
  <c r="GR777" i="93"/>
  <c r="FO777" i="93"/>
  <c r="FK801" i="93"/>
  <c r="GU801" i="93"/>
  <c r="FD777" i="93"/>
  <c r="GD780" i="93"/>
  <c r="AS781" i="93"/>
  <c r="DC781" i="93"/>
  <c r="HA781" i="93"/>
  <c r="DN767" i="93"/>
  <c r="BX772" i="93"/>
  <c r="FF777" i="93"/>
  <c r="HX777" i="93"/>
  <c r="GN780" i="93"/>
  <c r="AY781" i="93"/>
  <c r="FC781" i="93"/>
  <c r="HN781" i="93"/>
  <c r="EP783" i="93"/>
  <c r="IR783" i="93"/>
  <c r="FP785" i="93"/>
  <c r="HL785" i="93"/>
  <c r="DB788" i="93"/>
  <c r="CI789" i="93"/>
  <c r="HT789" i="93"/>
  <c r="JP780" i="93"/>
  <c r="GE768" i="93"/>
  <c r="HX768" i="93"/>
  <c r="GX776" i="93"/>
  <c r="FP784" i="93"/>
  <c r="JH788" i="93"/>
  <c r="BI780" i="93"/>
  <c r="I912" i="93"/>
  <c r="GI768" i="93"/>
  <c r="JC768" i="93"/>
  <c r="FX784" i="93"/>
  <c r="EI804" i="93"/>
  <c r="DS796" i="93"/>
  <c r="EG788" i="93"/>
  <c r="EL780" i="93"/>
  <c r="IZ772" i="93"/>
  <c r="EF802" i="93"/>
  <c r="CU768" i="93"/>
  <c r="DB784" i="93"/>
  <c r="DB792" i="93"/>
  <c r="JE780" i="93"/>
  <c r="JE788" i="93"/>
  <c r="L889" i="93"/>
  <c r="H903" i="93"/>
  <c r="P903" i="93"/>
  <c r="L907" i="93"/>
  <c r="K912" i="93"/>
  <c r="G916" i="93"/>
  <c r="JN796" i="93"/>
  <c r="CV788" i="93"/>
  <c r="GK768" i="93"/>
  <c r="JG768" i="93"/>
  <c r="GP784" i="93"/>
  <c r="IE795" i="93"/>
  <c r="IG787" i="93"/>
  <c r="ID779" i="93"/>
  <c r="EH779" i="93"/>
  <c r="JJ767" i="93"/>
  <c r="DG775" i="93"/>
  <c r="JC783" i="93"/>
  <c r="CC769" i="93"/>
  <c r="CW767" i="93"/>
  <c r="CW775" i="93"/>
  <c r="AW783" i="93"/>
  <c r="DQ769" i="93"/>
  <c r="BW777" i="93"/>
  <c r="ID785" i="93"/>
  <c r="BY793" i="93"/>
  <c r="AM801" i="93"/>
  <c r="GW767" i="93"/>
  <c r="HJ783" i="93"/>
  <c r="HY791" i="93"/>
  <c r="P885" i="93"/>
  <c r="H885" i="93"/>
  <c r="M889" i="93"/>
  <c r="G894" i="93"/>
  <c r="O894" i="93"/>
  <c r="I903" i="93"/>
  <c r="M907" i="93"/>
  <c r="K907" i="93"/>
  <c r="J912" i="93"/>
  <c r="H916" i="93"/>
  <c r="O1477" i="93"/>
  <c r="FN768" i="93"/>
  <c r="HE768" i="93"/>
  <c r="HS784" i="93"/>
  <c r="FO768" i="93"/>
  <c r="CT784" i="93"/>
  <c r="IU796" i="93"/>
  <c r="IH803" i="93"/>
  <c r="IF803" i="93"/>
  <c r="JL791" i="93"/>
  <c r="JH791" i="93"/>
  <c r="JI791" i="93"/>
  <c r="JJ791" i="93"/>
  <c r="BP791" i="93"/>
  <c r="BK791" i="93"/>
  <c r="CW791" i="93"/>
  <c r="AV791" i="93"/>
  <c r="CW799" i="93"/>
  <c r="BD799" i="93"/>
  <c r="CV799" i="93"/>
  <c r="FA771" i="93"/>
  <c r="IP781" i="93"/>
  <c r="DP781" i="93"/>
  <c r="IN781" i="93"/>
  <c r="EV781" i="93"/>
  <c r="DN781" i="93"/>
  <c r="EM781" i="93"/>
  <c r="DG781" i="93"/>
  <c r="IY781" i="93"/>
  <c r="EA781" i="93"/>
  <c r="HY799" i="93"/>
  <c r="GC799" i="93"/>
  <c r="HV799" i="93"/>
  <c r="FZ799" i="93"/>
  <c r="GP799" i="93"/>
  <c r="GK799" i="93"/>
  <c r="FU799" i="93"/>
  <c r="HF799" i="93"/>
  <c r="HI799" i="93"/>
  <c r="HQ799" i="93"/>
  <c r="HA799" i="93"/>
  <c r="FR799" i="93"/>
  <c r="FJ799" i="93"/>
  <c r="I885" i="93"/>
  <c r="BH767" i="93"/>
  <c r="FC767" i="93"/>
  <c r="GR767" i="93"/>
  <c r="BP769" i="93"/>
  <c r="IT779" i="93"/>
  <c r="GE783" i="93"/>
  <c r="HI783" i="93"/>
  <c r="BV784" i="93"/>
  <c r="Y785" i="93"/>
  <c r="BV785" i="93"/>
  <c r="DD785" i="93"/>
  <c r="A787" i="93"/>
  <c r="DE787" i="93"/>
  <c r="GL787" i="93"/>
  <c r="JM787" i="93"/>
  <c r="AS793" i="93"/>
  <c r="JQ768" i="93"/>
  <c r="IA768" i="93"/>
  <c r="HS768" i="93"/>
  <c r="HK768" i="93"/>
  <c r="HC768" i="93"/>
  <c r="JO768" i="93"/>
  <c r="HY768" i="93"/>
  <c r="HP768" i="93"/>
  <c r="HG768" i="93"/>
  <c r="GX768" i="93"/>
  <c r="GP768" i="93"/>
  <c r="GH768" i="93"/>
  <c r="FZ768" i="93"/>
  <c r="FR768" i="93"/>
  <c r="FJ768" i="93"/>
  <c r="FB768" i="93"/>
  <c r="IB768" i="93"/>
  <c r="HR768" i="93"/>
  <c r="HI768" i="93"/>
  <c r="GZ768" i="93"/>
  <c r="GR768" i="93"/>
  <c r="GJ768" i="93"/>
  <c r="GB768" i="93"/>
  <c r="FT768" i="93"/>
  <c r="FL768" i="93"/>
  <c r="FD768" i="93"/>
  <c r="HW768" i="93"/>
  <c r="HL768" i="93"/>
  <c r="GY768" i="93"/>
  <c r="GN768" i="93"/>
  <c r="GD768" i="93"/>
  <c r="FS768" i="93"/>
  <c r="FH768" i="93"/>
  <c r="EW768" i="93"/>
  <c r="JK768" i="93"/>
  <c r="HV768" i="93"/>
  <c r="HJ768" i="93"/>
  <c r="GW768" i="93"/>
  <c r="GM768" i="93"/>
  <c r="GC768" i="93"/>
  <c r="FQ768" i="93"/>
  <c r="FG768" i="93"/>
  <c r="JJ768" i="93"/>
  <c r="HU768" i="93"/>
  <c r="HH768" i="93"/>
  <c r="GV768" i="93"/>
  <c r="GL768" i="93"/>
  <c r="GA768" i="93"/>
  <c r="FP768" i="93"/>
  <c r="FF768" i="93"/>
  <c r="HZ768" i="93"/>
  <c r="HN768" i="93"/>
  <c r="HB768" i="93"/>
  <c r="GQ768" i="93"/>
  <c r="GF768" i="93"/>
  <c r="FV768" i="93"/>
  <c r="FK768" i="93"/>
  <c r="EZ768" i="93"/>
  <c r="JQ776" i="93"/>
  <c r="GI776" i="93"/>
  <c r="GJ776" i="93"/>
  <c r="HG776" i="93"/>
  <c r="EW776" i="93"/>
  <c r="GH776" i="93"/>
  <c r="FV776" i="93"/>
  <c r="FK776" i="93"/>
  <c r="HH776" i="93"/>
  <c r="JM784" i="93"/>
  <c r="JE784" i="93"/>
  <c r="HX784" i="93"/>
  <c r="HP784" i="93"/>
  <c r="HH784" i="93"/>
  <c r="GZ784" i="93"/>
  <c r="GR784" i="93"/>
  <c r="GJ784" i="93"/>
  <c r="GB784" i="93"/>
  <c r="FT784" i="93"/>
  <c r="FL784" i="93"/>
  <c r="FD784" i="93"/>
  <c r="EH784" i="93"/>
  <c r="CU784" i="93"/>
  <c r="JO784" i="93"/>
  <c r="JF784" i="93"/>
  <c r="HW784" i="93"/>
  <c r="HN784" i="93"/>
  <c r="HE784" i="93"/>
  <c r="GV784" i="93"/>
  <c r="GM784" i="93"/>
  <c r="GD784" i="93"/>
  <c r="FU784" i="93"/>
  <c r="FK784" i="93"/>
  <c r="FB784" i="93"/>
  <c r="DA784" i="93"/>
  <c r="BW784" i="93"/>
  <c r="JL784" i="93"/>
  <c r="JC784" i="93"/>
  <c r="HU784" i="93"/>
  <c r="HL784" i="93"/>
  <c r="HC784" i="93"/>
  <c r="GT784" i="93"/>
  <c r="GK784" i="93"/>
  <c r="GA784" i="93"/>
  <c r="FR784" i="93"/>
  <c r="FI784" i="93"/>
  <c r="EZ784" i="93"/>
  <c r="CY784" i="93"/>
  <c r="BU784" i="93"/>
  <c r="JQ784" i="93"/>
  <c r="JH784" i="93"/>
  <c r="HZ784" i="93"/>
  <c r="HQ784" i="93"/>
  <c r="HG784" i="93"/>
  <c r="GX784" i="93"/>
  <c r="GO784" i="93"/>
  <c r="GF784" i="93"/>
  <c r="FW784" i="93"/>
  <c r="FN784" i="93"/>
  <c r="FE784" i="93"/>
  <c r="DC784" i="93"/>
  <c r="BY784" i="93"/>
  <c r="JP784" i="93"/>
  <c r="IB784" i="93"/>
  <c r="HM784" i="93"/>
  <c r="GY784" i="93"/>
  <c r="GI784" i="93"/>
  <c r="FV784" i="93"/>
  <c r="FG784" i="93"/>
  <c r="CZ784" i="93"/>
  <c r="JN784" i="93"/>
  <c r="IA784" i="93"/>
  <c r="HK784" i="93"/>
  <c r="GW784" i="93"/>
  <c r="GH784" i="93"/>
  <c r="FS784" i="93"/>
  <c r="FF784" i="93"/>
  <c r="CX784" i="93"/>
  <c r="JK784" i="93"/>
  <c r="HY784" i="93"/>
  <c r="HJ784" i="93"/>
  <c r="GU784" i="93"/>
  <c r="GG784" i="93"/>
  <c r="FQ784" i="93"/>
  <c r="FC784" i="93"/>
  <c r="CV784" i="93"/>
  <c r="JD784" i="93"/>
  <c r="HR784" i="93"/>
  <c r="HB784" i="93"/>
  <c r="GN784" i="93"/>
  <c r="FY784" i="93"/>
  <c r="FJ784" i="93"/>
  <c r="EW784" i="93"/>
  <c r="JQ792" i="93"/>
  <c r="JI792" i="93"/>
  <c r="HX792" i="93"/>
  <c r="HN792" i="93"/>
  <c r="HD792" i="93"/>
  <c r="GS792" i="93"/>
  <c r="GI792" i="93"/>
  <c r="FY792" i="93"/>
  <c r="FM792" i="93"/>
  <c r="FC792" i="93"/>
  <c r="JF792" i="93"/>
  <c r="HW792" i="93"/>
  <c r="HM792" i="93"/>
  <c r="HB792" i="93"/>
  <c r="GR792" i="93"/>
  <c r="GH792" i="93"/>
  <c r="FV792" i="93"/>
  <c r="FL792" i="93"/>
  <c r="JK792" i="93"/>
  <c r="IB792" i="93"/>
  <c r="HP792" i="93"/>
  <c r="HF792" i="93"/>
  <c r="JM792" i="93"/>
  <c r="HV792" i="93"/>
  <c r="HG792" i="93"/>
  <c r="GQ792" i="93"/>
  <c r="GC792" i="93"/>
  <c r="FQ792" i="93"/>
  <c r="FB792" i="93"/>
  <c r="CZ792" i="93"/>
  <c r="BW792" i="93"/>
  <c r="JE792" i="93"/>
  <c r="HO792" i="93"/>
  <c r="GW792" i="93"/>
  <c r="GF792" i="93"/>
  <c r="FR792" i="93"/>
  <c r="FA792" i="93"/>
  <c r="CX792" i="93"/>
  <c r="JL792" i="93"/>
  <c r="HT792" i="93"/>
  <c r="GZ792" i="93"/>
  <c r="GK792" i="93"/>
  <c r="FT792" i="93"/>
  <c r="FF792" i="93"/>
  <c r="DA792" i="93"/>
  <c r="BV792" i="93"/>
  <c r="JJ792" i="93"/>
  <c r="HJ792" i="93"/>
  <c r="GN792" i="93"/>
  <c r="FS792" i="93"/>
  <c r="EY792" i="93"/>
  <c r="BY792" i="93"/>
  <c r="JD792" i="93"/>
  <c r="HI792" i="93"/>
  <c r="GL792" i="93"/>
  <c r="FP792" i="93"/>
  <c r="EX792" i="93"/>
  <c r="BX792" i="93"/>
  <c r="JP792" i="93"/>
  <c r="HR792" i="93"/>
  <c r="GT792" i="93"/>
  <c r="FZ792" i="93"/>
  <c r="FD792" i="93"/>
  <c r="CV792" i="93"/>
  <c r="HA792" i="93"/>
  <c r="FU792" i="93"/>
  <c r="CY792" i="93"/>
  <c r="JN792" i="93"/>
  <c r="GX792" i="93"/>
  <c r="FK792" i="93"/>
  <c r="CW792" i="93"/>
  <c r="JC792" i="93"/>
  <c r="GV792" i="93"/>
  <c r="FJ792" i="93"/>
  <c r="CT792" i="93"/>
  <c r="HL792" i="93"/>
  <c r="GB792" i="93"/>
  <c r="DC792" i="93"/>
  <c r="GD792" i="93"/>
  <c r="GA792" i="93"/>
  <c r="IC792" i="93"/>
  <c r="FI792" i="93"/>
  <c r="HY792" i="93"/>
  <c r="FH792" i="93"/>
  <c r="GO792" i="93"/>
  <c r="BU792" i="93"/>
  <c r="JG800" i="93"/>
  <c r="JC800" i="93"/>
  <c r="HD800" i="93"/>
  <c r="GH800" i="93"/>
  <c r="FJ800" i="93"/>
  <c r="CZ800" i="93"/>
  <c r="HY800" i="93"/>
  <c r="HC800" i="93"/>
  <c r="GE800" i="93"/>
  <c r="FI800" i="93"/>
  <c r="CX800" i="93"/>
  <c r="JJ800" i="93"/>
  <c r="HK800" i="93"/>
  <c r="GN800" i="93"/>
  <c r="FN800" i="93"/>
  <c r="DB800" i="93"/>
  <c r="BV800" i="93"/>
  <c r="HT800" i="93"/>
  <c r="GD800" i="93"/>
  <c r="DC800" i="93"/>
  <c r="HN800" i="93"/>
  <c r="FY800" i="93"/>
  <c r="DA800" i="93"/>
  <c r="HW800" i="93"/>
  <c r="GO800" i="93"/>
  <c r="EZ800" i="93"/>
  <c r="BU800" i="93"/>
  <c r="GX800" i="93"/>
  <c r="CV800" i="93"/>
  <c r="HJ800" i="93"/>
  <c r="FC800" i="93"/>
  <c r="FS800" i="93"/>
  <c r="FM800" i="93"/>
  <c r="GI800" i="93"/>
  <c r="GT800" i="93"/>
  <c r="FU800" i="93"/>
  <c r="EY800" i="93"/>
  <c r="HU800" i="93"/>
  <c r="HA800" i="93"/>
  <c r="BY800" i="93"/>
  <c r="BX800" i="93"/>
  <c r="BW800" i="93"/>
  <c r="JN804" i="93"/>
  <c r="JJ804" i="93"/>
  <c r="FD767" i="93"/>
  <c r="FM768" i="93"/>
  <c r="GG768" i="93"/>
  <c r="HD768" i="93"/>
  <c r="IC768" i="93"/>
  <c r="BW769" i="93"/>
  <c r="IP769" i="93"/>
  <c r="FD783" i="93"/>
  <c r="GG783" i="93"/>
  <c r="BX784" i="93"/>
  <c r="FO784" i="93"/>
  <c r="GQ784" i="93"/>
  <c r="HT784" i="93"/>
  <c r="AB785" i="93"/>
  <c r="BX785" i="93"/>
  <c r="DH785" i="93"/>
  <c r="AA787" i="93"/>
  <c r="DS787" i="93"/>
  <c r="GP787" i="93"/>
  <c r="JP787" i="93"/>
  <c r="JF795" i="93"/>
  <c r="HZ795" i="93"/>
  <c r="GL795" i="93"/>
  <c r="FA795" i="93"/>
  <c r="DY795" i="93"/>
  <c r="CZ795" i="93"/>
  <c r="CB795" i="93"/>
  <c r="AY795" i="93"/>
  <c r="JA795" i="93"/>
  <c r="HY795" i="93"/>
  <c r="GK795" i="93"/>
  <c r="EZ795" i="93"/>
  <c r="DX795" i="93"/>
  <c r="CY795" i="93"/>
  <c r="BY795" i="93"/>
  <c r="AQ795" i="93"/>
  <c r="JI795" i="93"/>
  <c r="IK795" i="93"/>
  <c r="GT795" i="93"/>
  <c r="FF795" i="93"/>
  <c r="EK795" i="93"/>
  <c r="DB795" i="93"/>
  <c r="CI795" i="93"/>
  <c r="BM795" i="93"/>
  <c r="IZ795" i="93"/>
  <c r="HA795" i="93"/>
  <c r="EU795" i="93"/>
  <c r="DA795" i="93"/>
  <c r="BU795" i="93"/>
  <c r="JL795" i="93"/>
  <c r="HR795" i="93"/>
  <c r="FM795" i="93"/>
  <c r="DK795" i="93"/>
  <c r="JH795" i="93"/>
  <c r="GD795" i="93"/>
  <c r="DP795" i="93"/>
  <c r="BX795" i="93"/>
  <c r="JO795" i="93"/>
  <c r="HJ795" i="93"/>
  <c r="EN795" i="93"/>
  <c r="CK795" i="93"/>
  <c r="AB795" i="93"/>
  <c r="GS795" i="93"/>
  <c r="DD795" i="93"/>
  <c r="AK795" i="93"/>
  <c r="GC795" i="93"/>
  <c r="CW795" i="93"/>
  <c r="AC795" i="93"/>
  <c r="EF795" i="93"/>
  <c r="BS795" i="93"/>
  <c r="EX795" i="93"/>
  <c r="W795" i="93"/>
  <c r="JK795" i="93"/>
  <c r="ES795" i="93"/>
  <c r="IU795" i="93"/>
  <c r="DI795" i="93"/>
  <c r="FN795" i="93"/>
  <c r="BW795" i="93"/>
  <c r="BD795" i="93"/>
  <c r="IR795" i="93"/>
  <c r="IM795" i="93"/>
  <c r="HQ795" i="93"/>
  <c r="CR795" i="93"/>
  <c r="CV767" i="93"/>
  <c r="BI767" i="93"/>
  <c r="DA785" i="93"/>
  <c r="BY785" i="93"/>
  <c r="DC785" i="93"/>
  <c r="BW785" i="93"/>
  <c r="IM785" i="93"/>
  <c r="EG785" i="93"/>
  <c r="DP785" i="93"/>
  <c r="CZ785" i="93"/>
  <c r="CM785" i="93"/>
  <c r="CD785" i="93"/>
  <c r="BU785" i="93"/>
  <c r="AW785" i="93"/>
  <c r="AJ785" i="93"/>
  <c r="AA785" i="93"/>
  <c r="IZ785" i="93"/>
  <c r="DU785" i="93"/>
  <c r="CU785" i="93"/>
  <c r="CE785" i="93"/>
  <c r="BM785" i="93"/>
  <c r="AI785" i="93"/>
  <c r="IS785" i="93"/>
  <c r="DQ785" i="93"/>
  <c r="CS785" i="93"/>
  <c r="CC785" i="93"/>
  <c r="BE785" i="93"/>
  <c r="AG785" i="93"/>
  <c r="IN785" i="93"/>
  <c r="ES785" i="93"/>
  <c r="DL785" i="93"/>
  <c r="CQ785" i="93"/>
  <c r="CB785" i="93"/>
  <c r="AY785" i="93"/>
  <c r="AF785" i="93"/>
  <c r="IG785" i="93"/>
  <c r="EB785" i="93"/>
  <c r="DB785" i="93"/>
  <c r="CJ785" i="93"/>
  <c r="BT785" i="93"/>
  <c r="AM785" i="93"/>
  <c r="X785" i="93"/>
  <c r="GZ803" i="93"/>
  <c r="IX789" i="93"/>
  <c r="DS789" i="93"/>
  <c r="DO789" i="93"/>
  <c r="JB789" i="93"/>
  <c r="EU789" i="93"/>
  <c r="EP789" i="93"/>
  <c r="HY783" i="93"/>
  <c r="HO783" i="93"/>
  <c r="HG783" i="93"/>
  <c r="GY783" i="93"/>
  <c r="GQ783" i="93"/>
  <c r="GI783" i="93"/>
  <c r="GA783" i="93"/>
  <c r="FS783" i="93"/>
  <c r="FK783" i="93"/>
  <c r="FC783" i="93"/>
  <c r="IA783" i="93"/>
  <c r="HN783" i="93"/>
  <c r="HE783" i="93"/>
  <c r="GV783" i="93"/>
  <c r="GM783" i="93"/>
  <c r="GD783" i="93"/>
  <c r="FU783" i="93"/>
  <c r="FL783" i="93"/>
  <c r="FB783" i="93"/>
  <c r="HW783" i="93"/>
  <c r="HL783" i="93"/>
  <c r="HC783" i="93"/>
  <c r="GT783" i="93"/>
  <c r="GK783" i="93"/>
  <c r="GB783" i="93"/>
  <c r="FR783" i="93"/>
  <c r="FI783" i="93"/>
  <c r="IC783" i="93"/>
  <c r="HQ783" i="93"/>
  <c r="HH783" i="93"/>
  <c r="GX783" i="93"/>
  <c r="GO783" i="93"/>
  <c r="GF783" i="93"/>
  <c r="FW783" i="93"/>
  <c r="FN783" i="93"/>
  <c r="FE783" i="93"/>
  <c r="HS783" i="93"/>
  <c r="HB783" i="93"/>
  <c r="GN783" i="93"/>
  <c r="FY783" i="93"/>
  <c r="FJ783" i="93"/>
  <c r="HP783" i="93"/>
  <c r="HA783" i="93"/>
  <c r="GL783" i="93"/>
  <c r="FX783" i="93"/>
  <c r="FH783" i="93"/>
  <c r="HM783" i="93"/>
  <c r="GZ783" i="93"/>
  <c r="GJ783" i="93"/>
  <c r="FV783" i="93"/>
  <c r="FG783" i="93"/>
  <c r="HU783" i="93"/>
  <c r="HF783" i="93"/>
  <c r="GR783" i="93"/>
  <c r="GC783" i="93"/>
  <c r="FO783" i="93"/>
  <c r="AE769" i="93"/>
  <c r="CY769" i="93"/>
  <c r="JG780" i="93"/>
  <c r="GS783" i="93"/>
  <c r="HD784" i="93"/>
  <c r="BW787" i="93"/>
  <c r="HZ787" i="93"/>
  <c r="BB791" i="93"/>
  <c r="HD791" i="93"/>
  <c r="GS768" i="93"/>
  <c r="DM769" i="93"/>
  <c r="CZ779" i="93"/>
  <c r="JI780" i="93"/>
  <c r="EB781" i="93"/>
  <c r="FQ783" i="93"/>
  <c r="GU783" i="93"/>
  <c r="IB783" i="93"/>
  <c r="EY784" i="93"/>
  <c r="GC784" i="93"/>
  <c r="HF784" i="93"/>
  <c r="JI784" i="93"/>
  <c r="AQ785" i="93"/>
  <c r="CL785" i="93"/>
  <c r="EJ785" i="93"/>
  <c r="JA785" i="93"/>
  <c r="BY787" i="93"/>
  <c r="IE787" i="93"/>
  <c r="DK789" i="93"/>
  <c r="GJ792" i="93"/>
  <c r="JE800" i="93"/>
  <c r="CC780" i="93"/>
  <c r="JQ787" i="93"/>
  <c r="JE787" i="93"/>
  <c r="IL787" i="93"/>
  <c r="HU787" i="93"/>
  <c r="HE787" i="93"/>
  <c r="GO787" i="93"/>
  <c r="FY787" i="93"/>
  <c r="FI787" i="93"/>
  <c r="EW787" i="93"/>
  <c r="ED787" i="93"/>
  <c r="DI787" i="93"/>
  <c r="CU787" i="93"/>
  <c r="CA787" i="93"/>
  <c r="JI787" i="93"/>
  <c r="IQ787" i="93"/>
  <c r="HY787" i="93"/>
  <c r="HI787" i="93"/>
  <c r="GS787" i="93"/>
  <c r="GC787" i="93"/>
  <c r="FM787" i="93"/>
  <c r="EY787" i="93"/>
  <c r="EI787" i="93"/>
  <c r="DN787" i="93"/>
  <c r="CY787" i="93"/>
  <c r="CG787" i="93"/>
  <c r="BU787" i="93"/>
  <c r="AL787" i="93"/>
  <c r="JL787" i="93"/>
  <c r="IU787" i="93"/>
  <c r="HR787" i="93"/>
  <c r="GX787" i="93"/>
  <c r="GD787" i="93"/>
  <c r="FF787" i="93"/>
  <c r="EP787" i="93"/>
  <c r="DO787" i="93"/>
  <c r="CT787" i="93"/>
  <c r="BX787" i="93"/>
  <c r="AQ787" i="93"/>
  <c r="JD787" i="93"/>
  <c r="IC787" i="93"/>
  <c r="HB787" i="93"/>
  <c r="GG787" i="93"/>
  <c r="FE787" i="93"/>
  <c r="EK787" i="93"/>
  <c r="DC787" i="93"/>
  <c r="CK787" i="93"/>
  <c r="BF787" i="93"/>
  <c r="Z787" i="93"/>
  <c r="JA787" i="93"/>
  <c r="HV787" i="93"/>
  <c r="GW787" i="93"/>
  <c r="FV787" i="93"/>
  <c r="FA787" i="93"/>
  <c r="DZ787" i="93"/>
  <c r="DA787" i="93"/>
  <c r="BZ787" i="93"/>
  <c r="AU787" i="93"/>
  <c r="JJ787" i="93"/>
  <c r="HJ787" i="93"/>
  <c r="GK787" i="93"/>
  <c r="FN787" i="93"/>
  <c r="ET787" i="93"/>
  <c r="DJ787" i="93"/>
  <c r="CP787" i="93"/>
  <c r="BQ787" i="93"/>
  <c r="AE787" i="93"/>
  <c r="IW787" i="93"/>
  <c r="HF787" i="93"/>
  <c r="FR787" i="93"/>
  <c r="EE787" i="93"/>
  <c r="CQ787" i="93"/>
  <c r="AP787" i="93"/>
  <c r="IP787" i="93"/>
  <c r="HA787" i="93"/>
  <c r="FQ787" i="93"/>
  <c r="DY787" i="93"/>
  <c r="CL787" i="93"/>
  <c r="AK787" i="93"/>
  <c r="IK787" i="93"/>
  <c r="GT787" i="93"/>
  <c r="FJ787" i="93"/>
  <c r="DU787" i="93"/>
  <c r="CE787" i="93"/>
  <c r="AG787" i="93"/>
  <c r="JH787" i="93"/>
  <c r="HN787" i="93"/>
  <c r="FZ787" i="93"/>
  <c r="EU787" i="93"/>
  <c r="CZ787" i="93"/>
  <c r="BM787" i="93"/>
  <c r="JO783" i="93"/>
  <c r="JF783" i="93"/>
  <c r="JI783" i="93"/>
  <c r="JG783" i="93"/>
  <c r="JK783" i="93"/>
  <c r="JL783" i="93"/>
  <c r="JJ783" i="93"/>
  <c r="JH783" i="93"/>
  <c r="JP783" i="93"/>
  <c r="JM799" i="93"/>
  <c r="JK799" i="93"/>
  <c r="JI799" i="93"/>
  <c r="JH799" i="93"/>
  <c r="JJ799" i="93"/>
  <c r="IA767" i="93"/>
  <c r="HW767" i="93"/>
  <c r="HG767" i="93"/>
  <c r="GQ767" i="93"/>
  <c r="GA767" i="93"/>
  <c r="FK767" i="93"/>
  <c r="IB767" i="93"/>
  <c r="HL767" i="93"/>
  <c r="GV767" i="93"/>
  <c r="GF767" i="93"/>
  <c r="FP767" i="93"/>
  <c r="HX767" i="93"/>
  <c r="HD767" i="93"/>
  <c r="GI767" i="93"/>
  <c r="FL767" i="93"/>
  <c r="HU767" i="93"/>
  <c r="GZ767" i="93"/>
  <c r="GG767" i="93"/>
  <c r="FI767" i="93"/>
  <c r="HT767" i="93"/>
  <c r="GY767" i="93"/>
  <c r="GB767" i="93"/>
  <c r="FH767" i="93"/>
  <c r="HH767" i="93"/>
  <c r="GN767" i="93"/>
  <c r="FS767" i="93"/>
  <c r="HT791" i="93"/>
  <c r="GR791" i="93"/>
  <c r="FY791" i="93"/>
  <c r="FH791" i="93"/>
  <c r="HA791" i="93"/>
  <c r="GC791" i="93"/>
  <c r="FI791" i="93"/>
  <c r="HI791" i="93"/>
  <c r="GJ791" i="93"/>
  <c r="FM791" i="93"/>
  <c r="GV791" i="93"/>
  <c r="FU791" i="93"/>
  <c r="GS791" i="93"/>
  <c r="FT791" i="93"/>
  <c r="HL791" i="93"/>
  <c r="GB791" i="93"/>
  <c r="GK791" i="93"/>
  <c r="GF791" i="93"/>
  <c r="FX791" i="93"/>
  <c r="GO791" i="93"/>
  <c r="FD791" i="93"/>
  <c r="GN791" i="93"/>
  <c r="FP791" i="93"/>
  <c r="FL791" i="93"/>
  <c r="FE791" i="93"/>
  <c r="HQ791" i="93"/>
  <c r="FX767" i="93"/>
  <c r="DX781" i="93"/>
  <c r="FP783" i="93"/>
  <c r="HX783" i="93"/>
  <c r="EX784" i="93"/>
  <c r="JG784" i="93"/>
  <c r="CK785" i="93"/>
  <c r="EF785" i="93"/>
  <c r="EZ792" i="93"/>
  <c r="JF780" i="93"/>
  <c r="FY767" i="93"/>
  <c r="HP767" i="93"/>
  <c r="FA768" i="93"/>
  <c r="FW768" i="93"/>
  <c r="HO768" i="93"/>
  <c r="AM769" i="93"/>
  <c r="HI776" i="93"/>
  <c r="GJ767" i="93"/>
  <c r="IC767" i="93"/>
  <c r="FC768" i="93"/>
  <c r="FX768" i="93"/>
  <c r="GT768" i="93"/>
  <c r="HQ768" i="93"/>
  <c r="AO769" i="93"/>
  <c r="HX776" i="93"/>
  <c r="JL780" i="93"/>
  <c r="EI781" i="93"/>
  <c r="FT783" i="93"/>
  <c r="GW783" i="93"/>
  <c r="JD783" i="93"/>
  <c r="FA784" i="93"/>
  <c r="GE784" i="93"/>
  <c r="HI784" i="93"/>
  <c r="JJ784" i="93"/>
  <c r="AV785" i="93"/>
  <c r="CN785" i="93"/>
  <c r="EN785" i="93"/>
  <c r="CX787" i="93"/>
  <c r="FU787" i="93"/>
  <c r="JB787" i="93"/>
  <c r="EA789" i="93"/>
  <c r="HE792" i="93"/>
  <c r="GS786" i="93"/>
  <c r="FB786" i="93"/>
  <c r="JQ779" i="93"/>
  <c r="FX779" i="93"/>
  <c r="JP779" i="93"/>
  <c r="FH779" i="93"/>
  <c r="GN779" i="93"/>
  <c r="HD779" i="93"/>
  <c r="GO779" i="93"/>
  <c r="FI779" i="93"/>
  <c r="HU779" i="93"/>
  <c r="BS779" i="93"/>
  <c r="IS803" i="93"/>
  <c r="GR803" i="93"/>
  <c r="FC803" i="93"/>
  <c r="DE803" i="93"/>
  <c r="CR803" i="93"/>
  <c r="AC803" i="93"/>
  <c r="GQ803" i="93"/>
  <c r="EZ803" i="93"/>
  <c r="DC803" i="93"/>
  <c r="CH803" i="93"/>
  <c r="JI803" i="93"/>
  <c r="HO803" i="93"/>
  <c r="FK803" i="93"/>
  <c r="DT803" i="93"/>
  <c r="CW803" i="93"/>
  <c r="BU803" i="93"/>
  <c r="HW803" i="93"/>
  <c r="EY803" i="93"/>
  <c r="CX803" i="93"/>
  <c r="HP803" i="93"/>
  <c r="EW803" i="93"/>
  <c r="CT803" i="93"/>
  <c r="FS803" i="93"/>
  <c r="DA803" i="93"/>
  <c r="BD803" i="93"/>
  <c r="JQ803" i="93"/>
  <c r="FD803" i="93"/>
  <c r="BW803" i="93"/>
  <c r="GI803" i="93"/>
  <c r="BY803" i="93"/>
  <c r="GJ803" i="93"/>
  <c r="BV803" i="93"/>
  <c r="GA803" i="93"/>
  <c r="HX803" i="93"/>
  <c r="CY803" i="93"/>
  <c r="JH803" i="93"/>
  <c r="GY803" i="93"/>
  <c r="ER803" i="93"/>
  <c r="BX803" i="93"/>
  <c r="DP803" i="93"/>
  <c r="DB803" i="93"/>
  <c r="JJ803" i="93"/>
  <c r="IO769" i="93"/>
  <c r="BV769" i="93"/>
  <c r="CZ769" i="93"/>
  <c r="BY769" i="93"/>
  <c r="CW769" i="93"/>
  <c r="BL769" i="93"/>
  <c r="X769" i="93"/>
  <c r="EK769" i="93"/>
  <c r="CO769" i="93"/>
  <c r="BK769" i="93"/>
  <c r="EI769" i="93"/>
  <c r="CL769" i="93"/>
  <c r="BC769" i="93"/>
  <c r="IQ769" i="93"/>
  <c r="DD769" i="93"/>
  <c r="BR769" i="93"/>
  <c r="AL769" i="93"/>
  <c r="BX793" i="93"/>
  <c r="BV793" i="93"/>
  <c r="DA793" i="93"/>
  <c r="DB793" i="93"/>
  <c r="BU793" i="93"/>
  <c r="CZ793" i="93"/>
  <c r="IL793" i="93"/>
  <c r="EB793" i="93"/>
  <c r="BQ793" i="93"/>
  <c r="IK793" i="93"/>
  <c r="DL793" i="93"/>
  <c r="BH793" i="93"/>
  <c r="AF793" i="93"/>
  <c r="IG793" i="93"/>
  <c r="EL793" i="93"/>
  <c r="AB793" i="93"/>
  <c r="CS793" i="93"/>
  <c r="CR793" i="93"/>
  <c r="BB793" i="93"/>
  <c r="HI795" i="93"/>
  <c r="HO767" i="93"/>
  <c r="CY779" i="93"/>
  <c r="FZ784" i="93"/>
  <c r="AO785" i="93"/>
  <c r="IL785" i="93"/>
  <c r="EZ787" i="93"/>
  <c r="FE795" i="93"/>
  <c r="GO767" i="93"/>
  <c r="FE768" i="93"/>
  <c r="FY768" i="93"/>
  <c r="GU768" i="93"/>
  <c r="HT768" i="93"/>
  <c r="AR769" i="93"/>
  <c r="EB769" i="93"/>
  <c r="DC777" i="93"/>
  <c r="HT779" i="93"/>
  <c r="EJ781" i="93"/>
  <c r="IV781" i="93"/>
  <c r="FZ783" i="93"/>
  <c r="HD783" i="93"/>
  <c r="JN783" i="93"/>
  <c r="FH784" i="93"/>
  <c r="GL784" i="93"/>
  <c r="HO784" i="93"/>
  <c r="W785" i="93"/>
  <c r="BO785" i="93"/>
  <c r="CY785" i="93"/>
  <c r="DB787" i="93"/>
  <c r="GH787" i="93"/>
  <c r="JK787" i="93"/>
  <c r="EM789" i="93"/>
  <c r="HU792" i="93"/>
  <c r="JI800" i="93"/>
  <c r="JQ796" i="93"/>
  <c r="JF804" i="93"/>
  <c r="J889" i="93"/>
  <c r="N894" i="93"/>
  <c r="J898" i="93"/>
  <c r="N903" i="93"/>
  <c r="CV780" i="93"/>
  <c r="FA780" i="93"/>
  <c r="FM780" i="93"/>
  <c r="FY780" i="93"/>
  <c r="GL780" i="93"/>
  <c r="GW780" i="93"/>
  <c r="HJ780" i="93"/>
  <c r="HV780" i="93"/>
  <c r="CZ788" i="93"/>
  <c r="FS788" i="93"/>
  <c r="GR788" i="93"/>
  <c r="JK780" i="93"/>
  <c r="JC780" i="93"/>
  <c r="HW780" i="93"/>
  <c r="HO780" i="93"/>
  <c r="HG780" i="93"/>
  <c r="GY780" i="93"/>
  <c r="GQ780" i="93"/>
  <c r="GI780" i="93"/>
  <c r="GA780" i="93"/>
  <c r="FS780" i="93"/>
  <c r="FK780" i="93"/>
  <c r="FC780" i="93"/>
  <c r="DB780" i="93"/>
  <c r="CT780" i="93"/>
  <c r="JQ780" i="93"/>
  <c r="JH780" i="93"/>
  <c r="IA780" i="93"/>
  <c r="HR780" i="93"/>
  <c r="HI780" i="93"/>
  <c r="GZ780" i="93"/>
  <c r="GP780" i="93"/>
  <c r="GG780" i="93"/>
  <c r="FX780" i="93"/>
  <c r="FO780" i="93"/>
  <c r="FF780" i="93"/>
  <c r="EW780" i="93"/>
  <c r="CU780" i="93"/>
  <c r="JJ780" i="93"/>
  <c r="IC780" i="93"/>
  <c r="HT780" i="93"/>
  <c r="HK780" i="93"/>
  <c r="HB780" i="93"/>
  <c r="GS780" i="93"/>
  <c r="GJ780" i="93"/>
  <c r="FZ780" i="93"/>
  <c r="FQ780" i="93"/>
  <c r="FH780" i="93"/>
  <c r="EY780" i="93"/>
  <c r="CW780" i="93"/>
  <c r="BU780" i="93"/>
  <c r="JH796" i="93"/>
  <c r="HR796" i="93"/>
  <c r="HC796" i="93"/>
  <c r="GL796" i="93"/>
  <c r="FV796" i="93"/>
  <c r="FE796" i="93"/>
  <c r="DB796" i="93"/>
  <c r="BW796" i="93"/>
  <c r="JF796" i="93"/>
  <c r="HQ796" i="93"/>
  <c r="GY796" i="93"/>
  <c r="GK796" i="93"/>
  <c r="FS796" i="93"/>
  <c r="FC796" i="93"/>
  <c r="DA796" i="93"/>
  <c r="BV796" i="93"/>
  <c r="JJ796" i="93"/>
  <c r="HY796" i="93"/>
  <c r="HG796" i="93"/>
  <c r="GO796" i="93"/>
  <c r="FX796" i="93"/>
  <c r="FI796" i="93"/>
  <c r="EW796" i="93"/>
  <c r="BY796" i="93"/>
  <c r="JC796" i="93"/>
  <c r="HI796" i="93"/>
  <c r="GF796" i="93"/>
  <c r="FF796" i="93"/>
  <c r="CV796" i="93"/>
  <c r="JM796" i="93"/>
  <c r="HO796" i="93"/>
  <c r="GT796" i="93"/>
  <c r="FO796" i="93"/>
  <c r="DC796" i="93"/>
  <c r="JO796" i="93"/>
  <c r="HL796" i="93"/>
  <c r="GA796" i="93"/>
  <c r="EX796" i="93"/>
  <c r="HV796" i="93"/>
  <c r="GG796" i="93"/>
  <c r="EZ796" i="93"/>
  <c r="HM796" i="93"/>
  <c r="FR796" i="93"/>
  <c r="BX796" i="93"/>
  <c r="HD796" i="93"/>
  <c r="FM796" i="93"/>
  <c r="BU796" i="93"/>
  <c r="IA796" i="93"/>
  <c r="GE796" i="93"/>
  <c r="CY796" i="93"/>
  <c r="GW796" i="93"/>
  <c r="CT796" i="93"/>
  <c r="GU796" i="93"/>
  <c r="JP796" i="93"/>
  <c r="GN796" i="93"/>
  <c r="HZ796" i="93"/>
  <c r="EY796" i="93"/>
  <c r="JP768" i="93"/>
  <c r="CW784" i="93"/>
  <c r="HR772" i="93"/>
  <c r="BW772" i="93"/>
  <c r="EW772" i="93"/>
  <c r="JL788" i="93"/>
  <c r="JD788" i="93"/>
  <c r="HV788" i="93"/>
  <c r="HM788" i="93"/>
  <c r="JJ788" i="93"/>
  <c r="IA788" i="93"/>
  <c r="HQ788" i="93"/>
  <c r="HG788" i="93"/>
  <c r="GX788" i="93"/>
  <c r="GO788" i="93"/>
  <c r="GE788" i="93"/>
  <c r="FV788" i="93"/>
  <c r="FM788" i="93"/>
  <c r="FD788" i="93"/>
  <c r="DC788" i="93"/>
  <c r="CT788" i="93"/>
  <c r="JM788" i="93"/>
  <c r="JC788" i="93"/>
  <c r="HS788" i="93"/>
  <c r="HI788" i="93"/>
  <c r="GZ788" i="93"/>
  <c r="GQ788" i="93"/>
  <c r="GH788" i="93"/>
  <c r="FY788" i="93"/>
  <c r="FO788" i="93"/>
  <c r="FF788" i="93"/>
  <c r="EX788" i="93"/>
  <c r="CW788" i="93"/>
  <c r="BU788" i="93"/>
  <c r="JG788" i="93"/>
  <c r="HU788" i="93"/>
  <c r="HF788" i="93"/>
  <c r="GT788" i="93"/>
  <c r="GI788" i="93"/>
  <c r="FU788" i="93"/>
  <c r="FJ788" i="93"/>
  <c r="EY788" i="93"/>
  <c r="CO788" i="93"/>
  <c r="JK788" i="93"/>
  <c r="HY788" i="93"/>
  <c r="HK788" i="93"/>
  <c r="GY788" i="93"/>
  <c r="GL788" i="93"/>
  <c r="GA788" i="93"/>
  <c r="FN788" i="93"/>
  <c r="FB788" i="93"/>
  <c r="CY788" i="93"/>
  <c r="IC788" i="93"/>
  <c r="HJ788" i="93"/>
  <c r="GS788" i="93"/>
  <c r="GC788" i="93"/>
  <c r="FL788" i="93"/>
  <c r="EW788" i="93"/>
  <c r="BW788" i="93"/>
  <c r="JQ788" i="93"/>
  <c r="HZ788" i="93"/>
  <c r="JO788" i="93"/>
  <c r="HX788" i="93"/>
  <c r="HE788" i="93"/>
  <c r="GP788" i="93"/>
  <c r="FZ788" i="93"/>
  <c r="FI788" i="93"/>
  <c r="DA788" i="93"/>
  <c r="Y788" i="93"/>
  <c r="JF788" i="93"/>
  <c r="HO788" i="93"/>
  <c r="GW788" i="93"/>
  <c r="GG788" i="93"/>
  <c r="FR788" i="93"/>
  <c r="FA788" i="93"/>
  <c r="BY788" i="93"/>
  <c r="HE804" i="93"/>
  <c r="FE804" i="93"/>
  <c r="BX804" i="93"/>
  <c r="GZ804" i="93"/>
  <c r="FA804" i="93"/>
  <c r="BW804" i="93"/>
  <c r="HX804" i="93"/>
  <c r="FM804" i="93"/>
  <c r="CY804" i="93"/>
  <c r="GG804" i="93"/>
  <c r="CX804" i="93"/>
  <c r="GF804" i="93"/>
  <c r="BV804" i="93"/>
  <c r="HP804" i="93"/>
  <c r="DA804" i="93"/>
  <c r="HY804" i="93"/>
  <c r="JQ804" i="93"/>
  <c r="CZ804" i="93"/>
  <c r="FL804" i="93"/>
  <c r="EW804" i="93"/>
  <c r="GV804" i="93"/>
  <c r="BU804" i="93"/>
  <c r="GZ772" i="93"/>
  <c r="BW780" i="93"/>
  <c r="DA780" i="93"/>
  <c r="FG780" i="93"/>
  <c r="FT780" i="93"/>
  <c r="GE780" i="93"/>
  <c r="GR780" i="93"/>
  <c r="HD780" i="93"/>
  <c r="HP780" i="93"/>
  <c r="IB780" i="93"/>
  <c r="JM780" i="93"/>
  <c r="BV788" i="93"/>
  <c r="FE788" i="93"/>
  <c r="GD788" i="93"/>
  <c r="HC788" i="93"/>
  <c r="JI788" i="93"/>
  <c r="JI796" i="93"/>
  <c r="CN793" i="93"/>
  <c r="IV785" i="93"/>
  <c r="DJ769" i="93"/>
  <c r="IZ781" i="93"/>
  <c r="JD789" i="93"/>
  <c r="BD769" i="93"/>
  <c r="BG785" i="93"/>
  <c r="BX780" i="93"/>
  <c r="DC780" i="93"/>
  <c r="FI780" i="93"/>
  <c r="FU780" i="93"/>
  <c r="GF780" i="93"/>
  <c r="GT780" i="93"/>
  <c r="HE780" i="93"/>
  <c r="HQ780" i="93"/>
  <c r="IM780" i="93"/>
  <c r="JN780" i="93"/>
  <c r="BX788" i="93"/>
  <c r="FG788" i="93"/>
  <c r="GJ788" i="93"/>
  <c r="HH788" i="93"/>
  <c r="JN788" i="93"/>
  <c r="JK796" i="93"/>
  <c r="BY780" i="93"/>
  <c r="EX780" i="93"/>
  <c r="FJ780" i="93"/>
  <c r="FV780" i="93"/>
  <c r="GH780" i="93"/>
  <c r="GU780" i="93"/>
  <c r="HF780" i="93"/>
  <c r="HS780" i="93"/>
  <c r="JD780" i="93"/>
  <c r="JO780" i="93"/>
  <c r="CU788" i="93"/>
  <c r="FK788" i="93"/>
  <c r="GK788" i="93"/>
  <c r="HN788" i="93"/>
  <c r="CZ796" i="93"/>
  <c r="DL767" i="93"/>
  <c r="EI767" i="93"/>
  <c r="JA767" i="93"/>
  <c r="AD769" i="93"/>
  <c r="CH769" i="93"/>
  <c r="GC769" i="93"/>
  <c r="FE777" i="93"/>
  <c r="FV777" i="93"/>
  <c r="GM777" i="93"/>
  <c r="HH777" i="93"/>
  <c r="AC781" i="93"/>
  <c r="AT781" i="93"/>
  <c r="BO781" i="93"/>
  <c r="CF781" i="93"/>
  <c r="CW781" i="93"/>
  <c r="DR781" i="93"/>
  <c r="ET781" i="93"/>
  <c r="FL781" i="93"/>
  <c r="GC781" i="93"/>
  <c r="GX781" i="93"/>
  <c r="HO781" i="93"/>
  <c r="IF781" i="93"/>
  <c r="DU783" i="93"/>
  <c r="EV783" i="93"/>
  <c r="AE785" i="93"/>
  <c r="AN785" i="93"/>
  <c r="BZ785" i="93"/>
  <c r="CI785" i="93"/>
  <c r="CR785" i="93"/>
  <c r="DE785" i="93"/>
  <c r="DX785" i="93"/>
  <c r="ER785" i="93"/>
  <c r="FC785" i="93"/>
  <c r="FM785" i="93"/>
  <c r="FV785" i="93"/>
  <c r="GE785" i="93"/>
  <c r="GN785" i="93"/>
  <c r="GW785" i="93"/>
  <c r="HF785" i="93"/>
  <c r="HO785" i="93"/>
  <c r="IH785" i="93"/>
  <c r="AD789" i="93"/>
  <c r="AV789" i="93"/>
  <c r="BM789" i="93"/>
  <c r="CG789" i="93"/>
  <c r="CZ789" i="93"/>
  <c r="EE789" i="93"/>
  <c r="FF789" i="93"/>
  <c r="FZ789" i="93"/>
  <c r="GR789" i="93"/>
  <c r="HL789" i="93"/>
  <c r="ID789" i="93"/>
  <c r="AC793" i="93"/>
  <c r="FY793" i="93"/>
  <c r="CD801" i="93"/>
  <c r="CA801" i="93"/>
  <c r="DX801" i="93"/>
  <c r="AD801" i="93"/>
  <c r="Z801" i="93"/>
  <c r="IW793" i="93"/>
  <c r="IS793" i="93"/>
  <c r="EV793" i="93"/>
  <c r="DU793" i="93"/>
  <c r="CJ793" i="93"/>
  <c r="AH793" i="93"/>
  <c r="X793" i="93"/>
  <c r="IR793" i="93"/>
  <c r="ER793" i="93"/>
  <c r="DP793" i="93"/>
  <c r="CH793" i="93"/>
  <c r="AG793" i="93"/>
  <c r="W793" i="93"/>
  <c r="IF793" i="93"/>
  <c r="DZ793" i="93"/>
  <c r="CO793" i="93"/>
  <c r="CB793" i="93"/>
  <c r="AL793" i="93"/>
  <c r="Z793" i="93"/>
  <c r="IN793" i="93"/>
  <c r="EG793" i="93"/>
  <c r="CC793" i="93"/>
  <c r="AK793" i="93"/>
  <c r="IX793" i="93"/>
  <c r="CD793" i="93"/>
  <c r="AE793" i="93"/>
  <c r="DF793" i="93"/>
  <c r="CG793" i="93"/>
  <c r="AN793" i="93"/>
  <c r="DE793" i="93"/>
  <c r="AP793" i="93"/>
  <c r="DV793" i="93"/>
  <c r="CF793" i="93"/>
  <c r="IO785" i="93"/>
  <c r="IF785" i="93"/>
  <c r="EV785" i="93"/>
  <c r="EC785" i="93"/>
  <c r="DM785" i="93"/>
  <c r="CO785" i="93"/>
  <c r="CG785" i="93"/>
  <c r="AP785" i="93"/>
  <c r="AH785" i="93"/>
  <c r="Z785" i="93"/>
  <c r="IS769" i="93"/>
  <c r="EA769" i="93"/>
  <c r="JO781" i="93"/>
  <c r="IM781" i="93"/>
  <c r="HW781" i="93"/>
  <c r="HG781" i="93"/>
  <c r="GQ781" i="93"/>
  <c r="GA781" i="93"/>
  <c r="FK781" i="93"/>
  <c r="EU781" i="93"/>
  <c r="DZ781" i="93"/>
  <c r="DD781" i="93"/>
  <c r="CN781" i="93"/>
  <c r="BX781" i="93"/>
  <c r="BH781" i="93"/>
  <c r="AR781" i="93"/>
  <c r="AB781" i="93"/>
  <c r="IT789" i="93"/>
  <c r="IG789" i="93"/>
  <c r="HX789" i="93"/>
  <c r="HO789" i="93"/>
  <c r="HF789" i="93"/>
  <c r="GW789" i="93"/>
  <c r="GN789" i="93"/>
  <c r="GD789" i="93"/>
  <c r="FU789" i="93"/>
  <c r="FL789" i="93"/>
  <c r="FC789" i="93"/>
  <c r="EQ789" i="93"/>
  <c r="DZ789" i="93"/>
  <c r="DG789" i="93"/>
  <c r="CU789" i="93"/>
  <c r="CL789" i="93"/>
  <c r="CC789" i="93"/>
  <c r="BT789" i="93"/>
  <c r="BK789" i="93"/>
  <c r="BB789" i="93"/>
  <c r="AS789" i="93"/>
  <c r="AI789" i="93"/>
  <c r="Z789" i="93"/>
  <c r="IM789" i="93"/>
  <c r="IC789" i="93"/>
  <c r="HR789" i="93"/>
  <c r="HH789" i="93"/>
  <c r="GX789" i="93"/>
  <c r="GL789" i="93"/>
  <c r="GB789" i="93"/>
  <c r="FR789" i="93"/>
  <c r="FH789" i="93"/>
  <c r="EW789" i="93"/>
  <c r="ED789" i="93"/>
  <c r="DJ789" i="93"/>
  <c r="CT789" i="93"/>
  <c r="CJ789" i="93"/>
  <c r="BZ789" i="93"/>
  <c r="BO789" i="93"/>
  <c r="BE789" i="93"/>
  <c r="AU789" i="93"/>
  <c r="AK789" i="93"/>
  <c r="Y789" i="93"/>
  <c r="IQ789" i="93"/>
  <c r="IE789" i="93"/>
  <c r="HU789" i="93"/>
  <c r="HJ789" i="93"/>
  <c r="GZ789" i="93"/>
  <c r="GP789" i="93"/>
  <c r="GF789" i="93"/>
  <c r="FT789" i="93"/>
  <c r="FJ789" i="93"/>
  <c r="EZ789" i="93"/>
  <c r="EH789" i="93"/>
  <c r="DN789" i="93"/>
  <c r="CX789" i="93"/>
  <c r="CM789" i="93"/>
  <c r="CB789" i="93"/>
  <c r="BR789" i="93"/>
  <c r="BG789" i="93"/>
  <c r="AW789" i="93"/>
  <c r="AM789" i="93"/>
  <c r="AC789" i="93"/>
  <c r="JP789" i="93"/>
  <c r="IJ789" i="93"/>
  <c r="HV789" i="93"/>
  <c r="HG789" i="93"/>
  <c r="GS789" i="93"/>
  <c r="GG789" i="93"/>
  <c r="FQ789" i="93"/>
  <c r="FD789" i="93"/>
  <c r="EI789" i="93"/>
  <c r="DC789" i="93"/>
  <c r="CQ789" i="93"/>
  <c r="CD789" i="93"/>
  <c r="BN789" i="93"/>
  <c r="BA789" i="93"/>
  <c r="AN789" i="93"/>
  <c r="X789" i="93"/>
  <c r="IP789" i="93"/>
  <c r="HZ789" i="93"/>
  <c r="HM789" i="93"/>
  <c r="GY789" i="93"/>
  <c r="GJ789" i="93"/>
  <c r="FX789" i="93"/>
  <c r="FI789" i="93"/>
  <c r="ET789" i="93"/>
  <c r="DR789" i="93"/>
  <c r="CW789" i="93"/>
  <c r="CH789" i="93"/>
  <c r="BU789" i="93"/>
  <c r="BF789" i="93"/>
  <c r="AQ789" i="93"/>
  <c r="AE789" i="93"/>
  <c r="IM797" i="93"/>
  <c r="IX797" i="93"/>
  <c r="HH797" i="93"/>
  <c r="GI797" i="93"/>
  <c r="FJ797" i="93"/>
  <c r="DJ797" i="93"/>
  <c r="BR797" i="93"/>
  <c r="AC797" i="93"/>
  <c r="IF797" i="93"/>
  <c r="HF797" i="93"/>
  <c r="GF797" i="93"/>
  <c r="FH797" i="93"/>
  <c r="DC797" i="93"/>
  <c r="BG797" i="93"/>
  <c r="AB797" i="93"/>
  <c r="HO797" i="93"/>
  <c r="GR797" i="93"/>
  <c r="FR797" i="93"/>
  <c r="EE797" i="93"/>
  <c r="BX797" i="93"/>
  <c r="AJ797" i="93"/>
  <c r="HV797" i="93"/>
  <c r="GE797" i="93"/>
  <c r="HT797" i="93"/>
  <c r="FX797" i="93"/>
  <c r="DX797" i="93"/>
  <c r="AS797" i="93"/>
  <c r="IA797" i="93"/>
  <c r="GT797" i="93"/>
  <c r="FC797" i="93"/>
  <c r="BS797" i="93"/>
  <c r="GJ797" i="93"/>
  <c r="CR797" i="93"/>
  <c r="GZ797" i="93"/>
  <c r="ET797" i="93"/>
  <c r="AG797" i="93"/>
  <c r="FV797" i="93"/>
  <c r="AV797" i="93"/>
  <c r="FK797" i="93"/>
  <c r="AK797" i="93"/>
  <c r="GX797" i="93"/>
  <c r="CB797" i="93"/>
  <c r="Y769" i="93"/>
  <c r="JC793" i="93"/>
  <c r="JO793" i="93"/>
  <c r="CV769" i="93"/>
  <c r="AW769" i="93"/>
  <c r="BS785" i="93"/>
  <c r="BL785" i="93"/>
  <c r="CX793" i="93"/>
  <c r="BJ793" i="93"/>
  <c r="AW793" i="93"/>
  <c r="CW793" i="93"/>
  <c r="BI793" i="93"/>
  <c r="AV793" i="93"/>
  <c r="BN793" i="93"/>
  <c r="AZ793" i="93"/>
  <c r="CT793" i="93"/>
  <c r="BF793" i="93"/>
  <c r="BD793" i="93"/>
  <c r="BL793" i="93"/>
  <c r="AR793" i="93"/>
  <c r="BT793" i="93"/>
  <c r="AX793" i="93"/>
  <c r="AU801" i="93"/>
  <c r="CX801" i="93"/>
  <c r="AX801" i="93"/>
  <c r="CS803" i="93"/>
  <c r="IP783" i="93"/>
  <c r="ET783" i="93"/>
  <c r="DY783" i="93"/>
  <c r="DD783" i="93"/>
  <c r="JB791" i="93"/>
  <c r="ET791" i="93"/>
  <c r="DL791" i="93"/>
  <c r="EN791" i="93"/>
  <c r="IT791" i="93"/>
  <c r="DR791" i="93"/>
  <c r="IN791" i="93"/>
  <c r="DF791" i="93"/>
  <c r="DX791" i="93"/>
  <c r="IQ799" i="93"/>
  <c r="DN799" i="93"/>
  <c r="EQ799" i="93"/>
  <c r="HQ769" i="93"/>
  <c r="GF769" i="93"/>
  <c r="FE769" i="93"/>
  <c r="HZ777" i="93"/>
  <c r="HJ777" i="93"/>
  <c r="GT777" i="93"/>
  <c r="GD777" i="93"/>
  <c r="FN777" i="93"/>
  <c r="HX785" i="93"/>
  <c r="HP785" i="93"/>
  <c r="HH785" i="93"/>
  <c r="GZ785" i="93"/>
  <c r="GR785" i="93"/>
  <c r="GJ785" i="93"/>
  <c r="GB785" i="93"/>
  <c r="FT785" i="93"/>
  <c r="FL785" i="93"/>
  <c r="FD785" i="93"/>
  <c r="IB793" i="93"/>
  <c r="HQ793" i="93"/>
  <c r="HG793" i="93"/>
  <c r="GV793" i="93"/>
  <c r="GK793" i="93"/>
  <c r="GA793" i="93"/>
  <c r="FQ793" i="93"/>
  <c r="FG793" i="93"/>
  <c r="IA793" i="93"/>
  <c r="HP793" i="93"/>
  <c r="HE793" i="93"/>
  <c r="GU793" i="93"/>
  <c r="GJ793" i="93"/>
  <c r="FZ793" i="93"/>
  <c r="FP793" i="93"/>
  <c r="FE793" i="93"/>
  <c r="HT793" i="93"/>
  <c r="HI793" i="93"/>
  <c r="GY793" i="93"/>
  <c r="GO793" i="93"/>
  <c r="GC793" i="93"/>
  <c r="FS793" i="93"/>
  <c r="FI793" i="93"/>
  <c r="HU793" i="93"/>
  <c r="HC793" i="93"/>
  <c r="GM793" i="93"/>
  <c r="FW793" i="93"/>
  <c r="FD793" i="93"/>
  <c r="HS793" i="93"/>
  <c r="GZ793" i="93"/>
  <c r="GG793" i="93"/>
  <c r="FM793" i="93"/>
  <c r="HW793" i="93"/>
  <c r="HD793" i="93"/>
  <c r="GI793" i="93"/>
  <c r="FR793" i="93"/>
  <c r="HV793" i="93"/>
  <c r="GS793" i="93"/>
  <c r="FX793" i="93"/>
  <c r="HN793" i="93"/>
  <c r="GR793" i="93"/>
  <c r="FT793" i="93"/>
  <c r="IC793" i="93"/>
  <c r="HA793" i="93"/>
  <c r="GB793" i="93"/>
  <c r="FB793" i="93"/>
  <c r="GF801" i="93"/>
  <c r="GE801" i="93"/>
  <c r="GQ801" i="93"/>
  <c r="HP801" i="93"/>
  <c r="HA801" i="93"/>
  <c r="FD801" i="93"/>
  <c r="IA801" i="93"/>
  <c r="O885" i="93"/>
  <c r="DF767" i="93"/>
  <c r="EB767" i="93"/>
  <c r="AZ769" i="93"/>
  <c r="FP769" i="93"/>
  <c r="HD769" i="93"/>
  <c r="IZ769" i="93"/>
  <c r="FT777" i="93"/>
  <c r="GK777" i="93"/>
  <c r="HB777" i="93"/>
  <c r="HS777" i="93"/>
  <c r="AQ781" i="93"/>
  <c r="BI781" i="93"/>
  <c r="BZ781" i="93"/>
  <c r="CU781" i="93"/>
  <c r="DO781" i="93"/>
  <c r="EL781" i="93"/>
  <c r="FE781" i="93"/>
  <c r="FZ781" i="93"/>
  <c r="GR781" i="93"/>
  <c r="HI781" i="93"/>
  <c r="ID781" i="93"/>
  <c r="IX781" i="93"/>
  <c r="DP783" i="93"/>
  <c r="EO783" i="93"/>
  <c r="IV783" i="93"/>
  <c r="AC785" i="93"/>
  <c r="AL785" i="93"/>
  <c r="BD785" i="93"/>
  <c r="CF785" i="93"/>
  <c r="CP785" i="93"/>
  <c r="DT785" i="93"/>
  <c r="EK785" i="93"/>
  <c r="FJ785" i="93"/>
  <c r="FS785" i="93"/>
  <c r="GC785" i="93"/>
  <c r="GL785" i="93"/>
  <c r="GU785" i="93"/>
  <c r="HD785" i="93"/>
  <c r="HM785" i="93"/>
  <c r="HV785" i="93"/>
  <c r="IE785" i="93"/>
  <c r="IR785" i="93"/>
  <c r="W789" i="93"/>
  <c r="AP789" i="93"/>
  <c r="BJ789" i="93"/>
  <c r="CA789" i="93"/>
  <c r="CS789" i="93"/>
  <c r="DW789" i="93"/>
  <c r="FB789" i="93"/>
  <c r="FV789" i="93"/>
  <c r="GO789" i="93"/>
  <c r="HE789" i="93"/>
  <c r="HY789" i="93"/>
  <c r="IY789" i="93"/>
  <c r="Y793" i="93"/>
  <c r="BR793" i="93"/>
  <c r="EK793" i="93"/>
  <c r="FK793" i="93"/>
  <c r="HH793" i="93"/>
  <c r="CH797" i="93"/>
  <c r="EH799" i="93"/>
  <c r="GO801" i="93"/>
  <c r="HX793" i="93"/>
  <c r="HX801" i="93"/>
  <c r="EE795" i="93"/>
  <c r="EO803" i="93"/>
  <c r="J885" i="93"/>
  <c r="K889" i="93"/>
  <c r="M894" i="93"/>
  <c r="K898" i="93"/>
  <c r="I898" i="93"/>
  <c r="G903" i="93"/>
  <c r="O903" i="93"/>
  <c r="M903" i="93"/>
  <c r="I916" i="93"/>
  <c r="IE800" i="93"/>
  <c r="CA792" i="93"/>
  <c r="IZ784" i="93"/>
  <c r="IA782" i="93"/>
  <c r="FW790" i="93"/>
  <c r="CZ772" i="93"/>
  <c r="JI768" i="93"/>
  <c r="N907" i="93"/>
  <c r="JG791" i="93"/>
  <c r="IN799" i="93"/>
  <c r="JG795" i="93"/>
  <c r="JE803" i="93"/>
  <c r="K942" i="93"/>
  <c r="K932" i="93"/>
  <c r="K923" i="93"/>
  <c r="F934" i="93"/>
  <c r="FM776" i="93"/>
  <c r="GL776" i="93"/>
  <c r="HN776" i="93"/>
  <c r="FT776" i="93"/>
  <c r="GS776" i="93"/>
  <c r="HV776" i="93"/>
  <c r="FU776" i="93"/>
  <c r="GT776" i="93"/>
  <c r="HW776" i="93"/>
  <c r="FA775" i="93"/>
  <c r="FB776" i="93"/>
  <c r="GA776" i="93"/>
  <c r="GZ776" i="93"/>
  <c r="IB775" i="93"/>
  <c r="HQ776" i="93"/>
  <c r="JF777" i="93"/>
  <c r="Y771" i="93"/>
  <c r="HL769" i="93"/>
  <c r="EY769" i="93"/>
  <c r="EX772" i="93"/>
  <c r="HT772" i="93"/>
  <c r="HX772" i="93"/>
  <c r="FR775" i="93"/>
  <c r="FL776" i="93"/>
  <c r="FZ776" i="93"/>
  <c r="GK776" i="93"/>
  <c r="GY776" i="93"/>
  <c r="HJ776" i="93"/>
  <c r="HY776" i="93"/>
  <c r="IN777" i="93"/>
  <c r="JA773" i="93"/>
  <c r="GV775" i="93"/>
  <c r="FC776" i="93"/>
  <c r="FN776" i="93"/>
  <c r="GB776" i="93"/>
  <c r="GP776" i="93"/>
  <c r="HA776" i="93"/>
  <c r="HO776" i="93"/>
  <c r="BU777" i="93"/>
  <c r="GX775" i="93"/>
  <c r="FP775" i="93"/>
  <c r="GF775" i="93"/>
  <c r="HL775" i="93"/>
  <c r="FD776" i="93"/>
  <c r="FR776" i="93"/>
  <c r="GC776" i="93"/>
  <c r="GQ776" i="93"/>
  <c r="HB776" i="93"/>
  <c r="HP776" i="93"/>
  <c r="BV777" i="93"/>
  <c r="FE776" i="93"/>
  <c r="FS776" i="93"/>
  <c r="GD776" i="93"/>
  <c r="GR776" i="93"/>
  <c r="HF776" i="93"/>
  <c r="CU773" i="93"/>
  <c r="HK773" i="93"/>
  <c r="BN773" i="93"/>
  <c r="BY773" i="93"/>
  <c r="IK773" i="93"/>
  <c r="CG773" i="93"/>
  <c r="IT773" i="93"/>
  <c r="IR777" i="93"/>
  <c r="BP777" i="93"/>
  <c r="CI777" i="93"/>
  <c r="AK773" i="93"/>
  <c r="DZ773" i="93"/>
  <c r="Z773" i="93"/>
  <c r="DB773" i="93"/>
  <c r="AQ773" i="93"/>
  <c r="EJ773" i="93"/>
  <c r="DF777" i="93"/>
  <c r="BB773" i="93"/>
  <c r="GH773" i="93"/>
  <c r="EO777" i="93"/>
  <c r="AL773" i="93"/>
  <c r="BH773" i="93"/>
  <c r="BZ773" i="93"/>
  <c r="CW773" i="93"/>
  <c r="EA773" i="93"/>
  <c r="GN773" i="93"/>
  <c r="IL773" i="93"/>
  <c r="DI777" i="93"/>
  <c r="IY777" i="93"/>
  <c r="EP773" i="93"/>
  <c r="AP773" i="93"/>
  <c r="BJ773" i="93"/>
  <c r="CD773" i="93"/>
  <c r="CX773" i="93"/>
  <c r="EH773" i="93"/>
  <c r="HB773" i="93"/>
  <c r="IR773" i="93"/>
  <c r="DP777" i="93"/>
  <c r="AA773" i="93"/>
  <c r="AT773" i="93"/>
  <c r="BO773" i="93"/>
  <c r="CL773" i="93"/>
  <c r="DC773" i="93"/>
  <c r="ES773" i="93"/>
  <c r="HV773" i="93"/>
  <c r="IY773" i="93"/>
  <c r="Z777" i="93"/>
  <c r="CN777" i="93"/>
  <c r="EV777" i="93"/>
  <c r="AB773" i="93"/>
  <c r="AY773" i="93"/>
  <c r="BP773" i="93"/>
  <c r="CM773" i="93"/>
  <c r="DF773" i="93"/>
  <c r="EZ773" i="93"/>
  <c r="ID773" i="93"/>
  <c r="IZ773" i="93"/>
  <c r="AC777" i="93"/>
  <c r="CQ777" i="93"/>
  <c r="AC773" i="93"/>
  <c r="AZ773" i="93"/>
  <c r="BV773" i="93"/>
  <c r="CN773" i="93"/>
  <c r="DL773" i="93"/>
  <c r="FN773" i="93"/>
  <c r="II773" i="93"/>
  <c r="AH777" i="93"/>
  <c r="CX777" i="93"/>
  <c r="AI773" i="93"/>
  <c r="BA773" i="93"/>
  <c r="BX773" i="93"/>
  <c r="CO773" i="93"/>
  <c r="DM773" i="93"/>
  <c r="FW773" i="93"/>
  <c r="IJ773" i="93"/>
  <c r="JO779" i="93"/>
  <c r="JI779" i="93"/>
  <c r="IC779" i="93"/>
  <c r="HM779" i="93"/>
  <c r="GW779" i="93"/>
  <c r="GG779" i="93"/>
  <c r="FQ779" i="93"/>
  <c r="FA779" i="93"/>
  <c r="DQ779" i="93"/>
  <c r="CI779" i="93"/>
  <c r="AI779" i="93"/>
  <c r="JC779" i="93"/>
  <c r="HG779" i="93"/>
  <c r="GQ779" i="93"/>
  <c r="FK779" i="93"/>
  <c r="EQ779" i="93"/>
  <c r="DB779" i="93"/>
  <c r="JH779" i="93"/>
  <c r="IB779" i="93"/>
  <c r="HL779" i="93"/>
  <c r="GV779" i="93"/>
  <c r="GF779" i="93"/>
  <c r="FP779" i="93"/>
  <c r="EZ779" i="93"/>
  <c r="DM779" i="93"/>
  <c r="CH779" i="93"/>
  <c r="AH779" i="93"/>
  <c r="JD779" i="93"/>
  <c r="HX779" i="93"/>
  <c r="HH779" i="93"/>
  <c r="GR779" i="93"/>
  <c r="GB779" i="93"/>
  <c r="FL779" i="93"/>
  <c r="ES779" i="93"/>
  <c r="DC779" i="93"/>
  <c r="BX779" i="93"/>
  <c r="W779" i="93"/>
  <c r="GA779" i="93"/>
  <c r="BW779" i="93"/>
  <c r="HW779" i="93"/>
  <c r="AO779" i="93"/>
  <c r="DV779" i="93"/>
  <c r="FS779" i="93"/>
  <c r="GY779" i="93"/>
  <c r="IH779" i="93"/>
  <c r="CX775" i="93"/>
  <c r="AX779" i="93"/>
  <c r="DW779" i="93"/>
  <c r="FT779" i="93"/>
  <c r="GZ779" i="93"/>
  <c r="II779" i="93"/>
  <c r="GZ778" i="93"/>
  <c r="FT778" i="93"/>
  <c r="BU779" i="93"/>
  <c r="EL779" i="93"/>
  <c r="FY779" i="93"/>
  <c r="IX779" i="93"/>
  <c r="CO779" i="93"/>
  <c r="FC779" i="93"/>
  <c r="GI779" i="93"/>
  <c r="HO779" i="93"/>
  <c r="JK779" i="93"/>
  <c r="IC776" i="93"/>
  <c r="HU776" i="93"/>
  <c r="HM776" i="93"/>
  <c r="HE776" i="93"/>
  <c r="GW776" i="93"/>
  <c r="GO776" i="93"/>
  <c r="GG776" i="93"/>
  <c r="FY776" i="93"/>
  <c r="FQ776" i="93"/>
  <c r="FI776" i="93"/>
  <c r="FA776" i="93"/>
  <c r="GM776" i="93"/>
  <c r="FO776" i="93"/>
  <c r="EX776" i="93"/>
  <c r="HR776" i="93"/>
  <c r="IB776" i="93"/>
  <c r="HT776" i="93"/>
  <c r="HL776" i="93"/>
  <c r="HD776" i="93"/>
  <c r="GV776" i="93"/>
  <c r="GN776" i="93"/>
  <c r="GF776" i="93"/>
  <c r="FX776" i="93"/>
  <c r="FP776" i="93"/>
  <c r="FH776" i="93"/>
  <c r="EZ776" i="93"/>
  <c r="IA776" i="93"/>
  <c r="HS776" i="93"/>
  <c r="HK776" i="93"/>
  <c r="HC776" i="93"/>
  <c r="GU776" i="93"/>
  <c r="GE776" i="93"/>
  <c r="FW776" i="93"/>
  <c r="FG776" i="93"/>
  <c r="HZ776" i="93"/>
  <c r="HE779" i="93"/>
  <c r="CS779" i="93"/>
  <c r="FD779" i="93"/>
  <c r="GJ779" i="93"/>
  <c r="HP779" i="93"/>
  <c r="JL779" i="93"/>
  <c r="II777" i="93"/>
  <c r="HW777" i="93"/>
  <c r="HO777" i="93"/>
  <c r="HG777" i="93"/>
  <c r="GY777" i="93"/>
  <c r="GQ777" i="93"/>
  <c r="GI777" i="93"/>
  <c r="GA777" i="93"/>
  <c r="FS777" i="93"/>
  <c r="FK777" i="93"/>
  <c r="FC777" i="93"/>
  <c r="EK777" i="93"/>
  <c r="DB777" i="93"/>
  <c r="CF777" i="93"/>
  <c r="BH777" i="93"/>
  <c r="CZ777" i="93"/>
  <c r="HT777" i="93"/>
  <c r="HD777" i="93"/>
  <c r="GF777" i="93"/>
  <c r="FP777" i="93"/>
  <c r="DT777" i="93"/>
  <c r="BX777" i="93"/>
  <c r="HV777" i="93"/>
  <c r="HN777" i="93"/>
  <c r="HF777" i="93"/>
  <c r="GX777" i="93"/>
  <c r="GP777" i="93"/>
  <c r="GH777" i="93"/>
  <c r="FZ777" i="93"/>
  <c r="FR777" i="93"/>
  <c r="FJ777" i="93"/>
  <c r="FB777" i="93"/>
  <c r="EE777" i="93"/>
  <c r="DA777" i="93"/>
  <c r="CA777" i="93"/>
  <c r="AT777" i="93"/>
  <c r="IC777" i="93"/>
  <c r="HU777" i="93"/>
  <c r="HM777" i="93"/>
  <c r="HE777" i="93"/>
  <c r="GW777" i="93"/>
  <c r="GO777" i="93"/>
  <c r="GG777" i="93"/>
  <c r="FY777" i="93"/>
  <c r="FQ777" i="93"/>
  <c r="FI777" i="93"/>
  <c r="FA777" i="93"/>
  <c r="EA777" i="93"/>
  <c r="BY777" i="93"/>
  <c r="AP777" i="93"/>
  <c r="IB777" i="93"/>
  <c r="HL777" i="93"/>
  <c r="GV777" i="93"/>
  <c r="GN777" i="93"/>
  <c r="FX777" i="93"/>
  <c r="EY777" i="93"/>
  <c r="CY777" i="93"/>
  <c r="AK777" i="93"/>
  <c r="FH777" i="93"/>
  <c r="CT777" i="93"/>
  <c r="IW777" i="93"/>
  <c r="EZ777" i="93"/>
  <c r="AO775" i="93"/>
  <c r="DC775" i="93"/>
  <c r="IF777" i="93"/>
  <c r="JE776" i="93"/>
  <c r="AA777" i="93"/>
  <c r="AI777" i="93"/>
  <c r="AQ777" i="93"/>
  <c r="BJ777" i="93"/>
  <c r="CG777" i="93"/>
  <c r="CO777" i="93"/>
  <c r="DG777" i="93"/>
  <c r="DQ777" i="93"/>
  <c r="EB777" i="93"/>
  <c r="EM777" i="93"/>
  <c r="IG777" i="93"/>
  <c r="IO777" i="93"/>
  <c r="IZ777" i="93"/>
  <c r="HH778" i="93"/>
  <c r="AB777" i="93"/>
  <c r="AJ777" i="93"/>
  <c r="AR777" i="93"/>
  <c r="BO777" i="93"/>
  <c r="BZ777" i="93"/>
  <c r="CH777" i="93"/>
  <c r="CP777" i="93"/>
  <c r="DH777" i="93"/>
  <c r="DS777" i="93"/>
  <c r="EC777" i="93"/>
  <c r="EN777" i="93"/>
  <c r="IH777" i="93"/>
  <c r="IQ777" i="93"/>
  <c r="JA777" i="93"/>
  <c r="HX778" i="93"/>
  <c r="AM779" i="93"/>
  <c r="BV779" i="93"/>
  <c r="CM779" i="93"/>
  <c r="DA779" i="93"/>
  <c r="DR779" i="93"/>
  <c r="EM779" i="93"/>
  <c r="FB779" i="93"/>
  <c r="FJ779" i="93"/>
  <c r="FR779" i="93"/>
  <c r="FZ779" i="93"/>
  <c r="GH779" i="93"/>
  <c r="GP779" i="93"/>
  <c r="GX779" i="93"/>
  <c r="HF779" i="93"/>
  <c r="HN779" i="93"/>
  <c r="HV779" i="93"/>
  <c r="IY779" i="93"/>
  <c r="JJ779" i="93"/>
  <c r="IH778" i="93"/>
  <c r="AL777" i="93"/>
  <c r="BR777" i="93"/>
  <c r="DU777" i="93"/>
  <c r="EQ777" i="93"/>
  <c r="W777" i="93"/>
  <c r="AE777" i="93"/>
  <c r="AM777" i="93"/>
  <c r="AZ777" i="93"/>
  <c r="CC777" i="93"/>
  <c r="CK777" i="93"/>
  <c r="CS777" i="93"/>
  <c r="DL777" i="93"/>
  <c r="DW777" i="93"/>
  <c r="EG777" i="93"/>
  <c r="ER777" i="93"/>
  <c r="IK777" i="93"/>
  <c r="IU777" i="93"/>
  <c r="JN777" i="93"/>
  <c r="Y779" i="93"/>
  <c r="AY779" i="93"/>
  <c r="BY779" i="93"/>
  <c r="CT779" i="93"/>
  <c r="DF779" i="93"/>
  <c r="EA779" i="93"/>
  <c r="EW779" i="93"/>
  <c r="FE779" i="93"/>
  <c r="FM779" i="93"/>
  <c r="FU779" i="93"/>
  <c r="GC779" i="93"/>
  <c r="GK779" i="93"/>
  <c r="GS779" i="93"/>
  <c r="HA779" i="93"/>
  <c r="HI779" i="93"/>
  <c r="HQ779" i="93"/>
  <c r="HY779" i="93"/>
  <c r="IM779" i="93"/>
  <c r="JE779" i="93"/>
  <c r="JM779" i="93"/>
  <c r="IY775" i="93"/>
  <c r="HD775" i="93"/>
  <c r="AD777" i="93"/>
  <c r="AY777" i="93"/>
  <c r="CB777" i="93"/>
  <c r="CJ777" i="93"/>
  <c r="DK777" i="93"/>
  <c r="EF777" i="93"/>
  <c r="IJ777" i="93"/>
  <c r="IS777" i="93"/>
  <c r="JJ777" i="93"/>
  <c r="X777" i="93"/>
  <c r="AF777" i="93"/>
  <c r="AN777" i="93"/>
  <c r="BB777" i="93"/>
  <c r="CD777" i="93"/>
  <c r="CL777" i="93"/>
  <c r="CU777" i="93"/>
  <c r="DD777" i="93"/>
  <c r="DM777" i="93"/>
  <c r="DX777" i="93"/>
  <c r="EI777" i="93"/>
  <c r="ES777" i="93"/>
  <c r="ID777" i="93"/>
  <c r="IL777" i="93"/>
  <c r="IV777" i="93"/>
  <c r="BV778" i="93"/>
  <c r="AC779" i="93"/>
  <c r="BI779" i="93"/>
  <c r="CC779" i="93"/>
  <c r="CW779" i="93"/>
  <c r="DG779" i="93"/>
  <c r="EC779" i="93"/>
  <c r="EX779" i="93"/>
  <c r="FF779" i="93"/>
  <c r="FN779" i="93"/>
  <c r="FV779" i="93"/>
  <c r="GD779" i="93"/>
  <c r="GL779" i="93"/>
  <c r="GT779" i="93"/>
  <c r="HB779" i="93"/>
  <c r="HJ779" i="93"/>
  <c r="HR779" i="93"/>
  <c r="HZ779" i="93"/>
  <c r="IO779" i="93"/>
  <c r="JF779" i="93"/>
  <c r="JN779" i="93"/>
  <c r="CR777" i="93"/>
  <c r="AD775" i="93"/>
  <c r="Y777" i="93"/>
  <c r="AG777" i="93"/>
  <c r="AO777" i="93"/>
  <c r="BG777" i="93"/>
  <c r="CE777" i="93"/>
  <c r="CM777" i="93"/>
  <c r="CV777" i="93"/>
  <c r="DE777" i="93"/>
  <c r="DO777" i="93"/>
  <c r="DY777" i="93"/>
  <c r="EJ777" i="93"/>
  <c r="EU777" i="93"/>
  <c r="IE777" i="93"/>
  <c r="IM777" i="93"/>
  <c r="CZ778" i="93"/>
  <c r="AD779" i="93"/>
  <c r="BJ779" i="93"/>
  <c r="CD779" i="93"/>
  <c r="CX779" i="93"/>
  <c r="DK779" i="93"/>
  <c r="EG779" i="93"/>
  <c r="EY779" i="93"/>
  <c r="FG779" i="93"/>
  <c r="FO779" i="93"/>
  <c r="FW779" i="93"/>
  <c r="GE779" i="93"/>
  <c r="GM779" i="93"/>
  <c r="GU779" i="93"/>
  <c r="HC779" i="93"/>
  <c r="HK779" i="93"/>
  <c r="HS779" i="93"/>
  <c r="IA779" i="93"/>
  <c r="IS779" i="93"/>
  <c r="JG779" i="93"/>
  <c r="HY772" i="93"/>
  <c r="FW772" i="93"/>
  <c r="FX772" i="93"/>
  <c r="GU772" i="93"/>
  <c r="FV772" i="93"/>
  <c r="GV772" i="93"/>
  <c r="HD772" i="93"/>
  <c r="FH772" i="93"/>
  <c r="GJ772" i="93"/>
  <c r="HI772" i="93"/>
  <c r="GE772" i="93"/>
  <c r="FL772" i="93"/>
  <c r="GK772" i="93"/>
  <c r="HJ772" i="93"/>
  <c r="FF772" i="93"/>
  <c r="FM772" i="93"/>
  <c r="GL772" i="93"/>
  <c r="HK772" i="93"/>
  <c r="JP772" i="93"/>
  <c r="FT772" i="93"/>
  <c r="GS772" i="93"/>
  <c r="HV771" i="93"/>
  <c r="FB775" i="93"/>
  <c r="GH775" i="93"/>
  <c r="HZ775" i="93"/>
  <c r="FG775" i="93"/>
  <c r="GM775" i="93"/>
  <c r="HS775" i="93"/>
  <c r="HN775" i="93"/>
  <c r="FH775" i="93"/>
  <c r="GN775" i="93"/>
  <c r="HT775" i="93"/>
  <c r="FW775" i="93"/>
  <c r="HC775" i="93"/>
  <c r="FX775" i="93"/>
  <c r="CC775" i="93"/>
  <c r="AC775" i="93"/>
  <c r="BU775" i="93"/>
  <c r="CI775" i="93"/>
  <c r="DB775" i="93"/>
  <c r="EZ775" i="93"/>
  <c r="FO775" i="93"/>
  <c r="GE775" i="93"/>
  <c r="GU775" i="93"/>
  <c r="HK775" i="93"/>
  <c r="IA775" i="93"/>
  <c r="DC776" i="93"/>
  <c r="AI775" i="93"/>
  <c r="BX775" i="93"/>
  <c r="CS775" i="93"/>
  <c r="DQ775" i="93"/>
  <c r="FC775" i="93"/>
  <c r="FS775" i="93"/>
  <c r="GI775" i="93"/>
  <c r="GY775" i="93"/>
  <c r="HO775" i="93"/>
  <c r="IH775" i="93"/>
  <c r="BJ775" i="93"/>
  <c r="CD775" i="93"/>
  <c r="CZ775" i="93"/>
  <c r="EW775" i="93"/>
  <c r="FJ775" i="93"/>
  <c r="FZ775" i="93"/>
  <c r="GP775" i="93"/>
  <c r="HF775" i="93"/>
  <c r="HV775" i="93"/>
  <c r="IS775" i="93"/>
  <c r="W775" i="93"/>
  <c r="BS775" i="93"/>
  <c r="CH775" i="93"/>
  <c r="DA775" i="93"/>
  <c r="EX775" i="93"/>
  <c r="FK775" i="93"/>
  <c r="GA775" i="93"/>
  <c r="GQ775" i="93"/>
  <c r="HG775" i="93"/>
  <c r="HW775" i="93"/>
  <c r="GN771" i="93"/>
  <c r="DE771" i="93"/>
  <c r="FX769" i="93"/>
  <c r="W781" i="93"/>
  <c r="AE781" i="93"/>
  <c r="AM781" i="93"/>
  <c r="AU781" i="93"/>
  <c r="BC781" i="93"/>
  <c r="BK781" i="93"/>
  <c r="BS781" i="93"/>
  <c r="CA781" i="93"/>
  <c r="CI781" i="93"/>
  <c r="CQ781" i="93"/>
  <c r="CY781" i="93"/>
  <c r="DH781" i="93"/>
  <c r="DS781" i="93"/>
  <c r="ED781" i="93"/>
  <c r="EN781" i="93"/>
  <c r="EX781" i="93"/>
  <c r="FF781" i="93"/>
  <c r="FN781" i="93"/>
  <c r="FV781" i="93"/>
  <c r="GD781" i="93"/>
  <c r="GL781" i="93"/>
  <c r="GT781" i="93"/>
  <c r="HB781" i="93"/>
  <c r="HJ781" i="93"/>
  <c r="HR781" i="93"/>
  <c r="HZ781" i="93"/>
  <c r="IH781" i="93"/>
  <c r="IQ781" i="93"/>
  <c r="JB781" i="93"/>
  <c r="EE781" i="93"/>
  <c r="Y781" i="93"/>
  <c r="AO781" i="93"/>
  <c r="BM781" i="93"/>
  <c r="CK781" i="93"/>
  <c r="DA781" i="93"/>
  <c r="DV781" i="93"/>
  <c r="FH781" i="93"/>
  <c r="FX781" i="93"/>
  <c r="GV781" i="93"/>
  <c r="HL781" i="93"/>
  <c r="IB781" i="93"/>
  <c r="IJ781" i="93"/>
  <c r="JG781" i="93"/>
  <c r="X781" i="93"/>
  <c r="AF781" i="93"/>
  <c r="AN781" i="93"/>
  <c r="AV781" i="93"/>
  <c r="BD781" i="93"/>
  <c r="BL781" i="93"/>
  <c r="BT781" i="93"/>
  <c r="CB781" i="93"/>
  <c r="CJ781" i="93"/>
  <c r="CR781" i="93"/>
  <c r="CZ781" i="93"/>
  <c r="DJ781" i="93"/>
  <c r="DT781" i="93"/>
  <c r="EP781" i="93"/>
  <c r="EY781" i="93"/>
  <c r="FG781" i="93"/>
  <c r="FO781" i="93"/>
  <c r="FW781" i="93"/>
  <c r="GE781" i="93"/>
  <c r="GM781" i="93"/>
  <c r="GU781" i="93"/>
  <c r="HC781" i="93"/>
  <c r="HK781" i="93"/>
  <c r="HS781" i="93"/>
  <c r="IA781" i="93"/>
  <c r="II781" i="93"/>
  <c r="IR781" i="93"/>
  <c r="JC781" i="93"/>
  <c r="AG781" i="93"/>
  <c r="AW781" i="93"/>
  <c r="BE781" i="93"/>
  <c r="BU781" i="93"/>
  <c r="CC781" i="93"/>
  <c r="CS781" i="93"/>
  <c r="DK781" i="93"/>
  <c r="EF781" i="93"/>
  <c r="EQ781" i="93"/>
  <c r="EZ781" i="93"/>
  <c r="FP781" i="93"/>
  <c r="GF781" i="93"/>
  <c r="GN781" i="93"/>
  <c r="HD781" i="93"/>
  <c r="HT781" i="93"/>
  <c r="IT781" i="93"/>
  <c r="Z781" i="93"/>
  <c r="AH781" i="93"/>
  <c r="AP781" i="93"/>
  <c r="AX781" i="93"/>
  <c r="BF781" i="93"/>
  <c r="BN781" i="93"/>
  <c r="BV781" i="93"/>
  <c r="CD781" i="93"/>
  <c r="CL781" i="93"/>
  <c r="CT781" i="93"/>
  <c r="DB781" i="93"/>
  <c r="DL781" i="93"/>
  <c r="DW781" i="93"/>
  <c r="EH781" i="93"/>
  <c r="ER781" i="93"/>
  <c r="FA781" i="93"/>
  <c r="FI781" i="93"/>
  <c r="FQ781" i="93"/>
  <c r="FY781" i="93"/>
  <c r="GG781" i="93"/>
  <c r="GO781" i="93"/>
  <c r="GW781" i="93"/>
  <c r="HE781" i="93"/>
  <c r="HM781" i="93"/>
  <c r="HU781" i="93"/>
  <c r="IC781" i="93"/>
  <c r="IK781" i="93"/>
  <c r="IU781" i="93"/>
  <c r="BL767" i="93"/>
  <c r="BM767" i="93"/>
  <c r="BQ767" i="93"/>
  <c r="AX775" i="93"/>
  <c r="BD767" i="93"/>
  <c r="BT767" i="93"/>
  <c r="AY775" i="93"/>
  <c r="CT775" i="93"/>
  <c r="BP767" i="93"/>
  <c r="BE767" i="93"/>
  <c r="BI775" i="93"/>
  <c r="JH772" i="93"/>
  <c r="JI772" i="93"/>
  <c r="JE772" i="93"/>
  <c r="BY768" i="93"/>
  <c r="CW776" i="93"/>
  <c r="DC771" i="93"/>
  <c r="Z771" i="93"/>
  <c r="HU773" i="93"/>
  <c r="GX773" i="93"/>
  <c r="GF773" i="93"/>
  <c r="FJ773" i="93"/>
  <c r="HS773" i="93"/>
  <c r="GW773" i="93"/>
  <c r="FZ773" i="93"/>
  <c r="FI773" i="93"/>
  <c r="HL773" i="93"/>
  <c r="FX773" i="93"/>
  <c r="HM773" i="93"/>
  <c r="GV773" i="93"/>
  <c r="FY773" i="93"/>
  <c r="FG773" i="93"/>
  <c r="GT773" i="93"/>
  <c r="FA773" i="93"/>
  <c r="IA773" i="93"/>
  <c r="HJ773" i="93"/>
  <c r="GM773" i="93"/>
  <c r="FR773" i="93"/>
  <c r="EY773" i="93"/>
  <c r="HZ773" i="93"/>
  <c r="HE773" i="93"/>
  <c r="GL773" i="93"/>
  <c r="FO773" i="93"/>
  <c r="EX773" i="93"/>
  <c r="IY767" i="93"/>
  <c r="IQ767" i="93"/>
  <c r="EP767" i="93"/>
  <c r="EH767" i="93"/>
  <c r="DZ767" i="93"/>
  <c r="DR767" i="93"/>
  <c r="DJ767" i="93"/>
  <c r="JL767" i="93"/>
  <c r="EM767" i="93"/>
  <c r="DW767" i="93"/>
  <c r="IX767" i="93"/>
  <c r="IP767" i="93"/>
  <c r="EO767" i="93"/>
  <c r="EG767" i="93"/>
  <c r="DY767" i="93"/>
  <c r="DQ767" i="93"/>
  <c r="DI767" i="93"/>
  <c r="IN767" i="93"/>
  <c r="DO767" i="93"/>
  <c r="IW767" i="93"/>
  <c r="IO767" i="93"/>
  <c r="EV767" i="93"/>
  <c r="EN767" i="93"/>
  <c r="EF767" i="93"/>
  <c r="DX767" i="93"/>
  <c r="DP767" i="93"/>
  <c r="DH767" i="93"/>
  <c r="IV767" i="93"/>
  <c r="EU767" i="93"/>
  <c r="EE767" i="93"/>
  <c r="DG767" i="93"/>
  <c r="JB767" i="93"/>
  <c r="IT767" i="93"/>
  <c r="ES767" i="93"/>
  <c r="EK767" i="93"/>
  <c r="EC767" i="93"/>
  <c r="DU767" i="93"/>
  <c r="DM767" i="93"/>
  <c r="DE767" i="93"/>
  <c r="IO775" i="93"/>
  <c r="EA775" i="93"/>
  <c r="DF775" i="93"/>
  <c r="ES775" i="93"/>
  <c r="DW775" i="93"/>
  <c r="EQ775" i="93"/>
  <c r="DV775" i="93"/>
  <c r="EM775" i="93"/>
  <c r="DR775" i="93"/>
  <c r="IX775" i="93"/>
  <c r="EH775" i="93"/>
  <c r="DM775" i="93"/>
  <c r="IT775" i="93"/>
  <c r="EG775" i="93"/>
  <c r="DK775" i="93"/>
  <c r="JQ769" i="93"/>
  <c r="HX769" i="93"/>
  <c r="HP769" i="93"/>
  <c r="HH769" i="93"/>
  <c r="GZ769" i="93"/>
  <c r="GR769" i="93"/>
  <c r="GJ769" i="93"/>
  <c r="GB769" i="93"/>
  <c r="FT769" i="93"/>
  <c r="FL769" i="93"/>
  <c r="FD769" i="93"/>
  <c r="HM769" i="93"/>
  <c r="GG769" i="93"/>
  <c r="FI769" i="93"/>
  <c r="JM769" i="93"/>
  <c r="HW769" i="93"/>
  <c r="HO769" i="93"/>
  <c r="HG769" i="93"/>
  <c r="GY769" i="93"/>
  <c r="GQ769" i="93"/>
  <c r="GI769" i="93"/>
  <c r="GA769" i="93"/>
  <c r="FS769" i="93"/>
  <c r="FK769" i="93"/>
  <c r="FC769" i="93"/>
  <c r="IC769" i="93"/>
  <c r="HE769" i="93"/>
  <c r="GO769" i="93"/>
  <c r="FQ769" i="93"/>
  <c r="HV769" i="93"/>
  <c r="HN769" i="93"/>
  <c r="HF769" i="93"/>
  <c r="GX769" i="93"/>
  <c r="GP769" i="93"/>
  <c r="GH769" i="93"/>
  <c r="FZ769" i="93"/>
  <c r="FR769" i="93"/>
  <c r="FJ769" i="93"/>
  <c r="FB769" i="93"/>
  <c r="HU769" i="93"/>
  <c r="GW769" i="93"/>
  <c r="FY769" i="93"/>
  <c r="IA769" i="93"/>
  <c r="HS769" i="93"/>
  <c r="HK769" i="93"/>
  <c r="HC769" i="93"/>
  <c r="GU769" i="93"/>
  <c r="GM769" i="93"/>
  <c r="GE769" i="93"/>
  <c r="FW769" i="93"/>
  <c r="FO769" i="93"/>
  <c r="FG769" i="93"/>
  <c r="HZ769" i="93"/>
  <c r="HR769" i="93"/>
  <c r="HJ769" i="93"/>
  <c r="HB769" i="93"/>
  <c r="GT769" i="93"/>
  <c r="GL769" i="93"/>
  <c r="GD769" i="93"/>
  <c r="FV769" i="93"/>
  <c r="CY768" i="93"/>
  <c r="BW768" i="93"/>
  <c r="CX768" i="93"/>
  <c r="BV768" i="93"/>
  <c r="CW768" i="93"/>
  <c r="BU768" i="93"/>
  <c r="CV768" i="93"/>
  <c r="DB768" i="93"/>
  <c r="CT768" i="93"/>
  <c r="BX768" i="93"/>
  <c r="IB774" i="93"/>
  <c r="DA768" i="93"/>
  <c r="DB776" i="93"/>
  <c r="BX776" i="93"/>
  <c r="DA776" i="93"/>
  <c r="BW776" i="93"/>
  <c r="CY776" i="93"/>
  <c r="CZ776" i="93"/>
  <c r="BV776" i="93"/>
  <c r="BU776" i="93"/>
  <c r="CV776" i="93"/>
  <c r="CU776" i="93"/>
  <c r="CZ768" i="93"/>
  <c r="DC768" i="93"/>
  <c r="JG772" i="93"/>
  <c r="BY776" i="93"/>
  <c r="FB767" i="93"/>
  <c r="FJ767" i="93"/>
  <c r="FR767" i="93"/>
  <c r="FZ767" i="93"/>
  <c r="GH767" i="93"/>
  <c r="GP767" i="93"/>
  <c r="GX767" i="93"/>
  <c r="HF767" i="93"/>
  <c r="HN767" i="93"/>
  <c r="HV767" i="93"/>
  <c r="AB769" i="93"/>
  <c r="AN769" i="93"/>
  <c r="BB769" i="93"/>
  <c r="BM769" i="93"/>
  <c r="BX769" i="93"/>
  <c r="CK769" i="93"/>
  <c r="CX769" i="93"/>
  <c r="DL769" i="93"/>
  <c r="EC769" i="93"/>
  <c r="IR769" i="93"/>
  <c r="BU772" i="93"/>
  <c r="DK773" i="93"/>
  <c r="EB773" i="93"/>
  <c r="IX773" i="93"/>
  <c r="FI775" i="93"/>
  <c r="FQ775" i="93"/>
  <c r="FY775" i="93"/>
  <c r="GG775" i="93"/>
  <c r="GO775" i="93"/>
  <c r="GW775" i="93"/>
  <c r="HE775" i="93"/>
  <c r="HM775" i="93"/>
  <c r="HU775" i="93"/>
  <c r="IC775" i="93"/>
  <c r="CT776" i="93"/>
  <c r="AH776" i="93"/>
  <c r="FE767" i="93"/>
  <c r="FM767" i="93"/>
  <c r="FU767" i="93"/>
  <c r="GC767" i="93"/>
  <c r="GK767" i="93"/>
  <c r="GS767" i="93"/>
  <c r="HA767" i="93"/>
  <c r="HI767" i="93"/>
  <c r="HQ767" i="93"/>
  <c r="HY767" i="93"/>
  <c r="AF769" i="93"/>
  <c r="AT769" i="93"/>
  <c r="BE769" i="93"/>
  <c r="BS769" i="93"/>
  <c r="CA769" i="93"/>
  <c r="CS769" i="93"/>
  <c r="DA769" i="93"/>
  <c r="DR769" i="93"/>
  <c r="EO769" i="93"/>
  <c r="IG769" i="93"/>
  <c r="JA769" i="93"/>
  <c r="FJ771" i="93"/>
  <c r="CV772" i="93"/>
  <c r="DN773" i="93"/>
  <c r="EK773" i="93"/>
  <c r="FV774" i="93"/>
  <c r="FD775" i="93"/>
  <c r="FL775" i="93"/>
  <c r="FT775" i="93"/>
  <c r="GB775" i="93"/>
  <c r="GJ775" i="93"/>
  <c r="GR775" i="93"/>
  <c r="GZ775" i="93"/>
  <c r="HH775" i="93"/>
  <c r="HP775" i="93"/>
  <c r="HX775" i="93"/>
  <c r="JC776" i="93"/>
  <c r="HR774" i="93"/>
  <c r="FF767" i="93"/>
  <c r="FN767" i="93"/>
  <c r="FV767" i="93"/>
  <c r="GD767" i="93"/>
  <c r="GL767" i="93"/>
  <c r="GT767" i="93"/>
  <c r="HB767" i="93"/>
  <c r="HJ767" i="93"/>
  <c r="HR767" i="93"/>
  <c r="HZ767" i="93"/>
  <c r="AG769" i="93"/>
  <c r="AU769" i="93"/>
  <c r="BH769" i="93"/>
  <c r="BT769" i="93"/>
  <c r="CB769" i="93"/>
  <c r="CT769" i="93"/>
  <c r="DB769" i="93"/>
  <c r="DU769" i="93"/>
  <c r="EP769" i="93"/>
  <c r="IJ769" i="93"/>
  <c r="GM771" i="93"/>
  <c r="DT773" i="93"/>
  <c r="EL773" i="93"/>
  <c r="FE775" i="93"/>
  <c r="FM775" i="93"/>
  <c r="FU775" i="93"/>
  <c r="GC775" i="93"/>
  <c r="GK775" i="93"/>
  <c r="GS775" i="93"/>
  <c r="HA775" i="93"/>
  <c r="HI775" i="93"/>
  <c r="HQ775" i="93"/>
  <c r="HY775" i="93"/>
  <c r="JD776" i="93"/>
  <c r="DG768" i="93"/>
  <c r="FG767" i="93"/>
  <c r="FO767" i="93"/>
  <c r="FW767" i="93"/>
  <c r="GE767" i="93"/>
  <c r="GM767" i="93"/>
  <c r="GU767" i="93"/>
  <c r="HC767" i="93"/>
  <c r="HK767" i="93"/>
  <c r="HS767" i="93"/>
  <c r="W769" i="93"/>
  <c r="AJ769" i="93"/>
  <c r="AV769" i="93"/>
  <c r="BJ769" i="93"/>
  <c r="BU769" i="93"/>
  <c r="CF769" i="93"/>
  <c r="CU769" i="93"/>
  <c r="DC769" i="93"/>
  <c r="DZ769" i="93"/>
  <c r="EQ769" i="93"/>
  <c r="DV773" i="93"/>
  <c r="FF775" i="93"/>
  <c r="FN775" i="93"/>
  <c r="FV775" i="93"/>
  <c r="GD775" i="93"/>
  <c r="GL775" i="93"/>
  <c r="GT775" i="93"/>
  <c r="HB775" i="93"/>
  <c r="HJ775" i="93"/>
  <c r="HR775" i="93"/>
  <c r="IH771" i="93"/>
  <c r="IG771" i="93"/>
  <c r="ID771" i="93"/>
  <c r="JQ771" i="93"/>
  <c r="JI771" i="93"/>
  <c r="JA771" i="93"/>
  <c r="IK771" i="93"/>
  <c r="HY771" i="93"/>
  <c r="HQ771" i="93"/>
  <c r="HI771" i="93"/>
  <c r="HA771" i="93"/>
  <c r="GS771" i="93"/>
  <c r="GK771" i="93"/>
  <c r="GC771" i="93"/>
  <c r="FU771" i="93"/>
  <c r="FM771" i="93"/>
  <c r="FE771" i="93"/>
  <c r="EW771" i="93"/>
  <c r="EG771" i="93"/>
  <c r="DQ771" i="93"/>
  <c r="DB771" i="93"/>
  <c r="CO771" i="93"/>
  <c r="BY771" i="93"/>
  <c r="BF771" i="93"/>
  <c r="AH771" i="93"/>
  <c r="JP771" i="93"/>
  <c r="JH771" i="93"/>
  <c r="IX771" i="93"/>
  <c r="HX771" i="93"/>
  <c r="HP771" i="93"/>
  <c r="HH771" i="93"/>
  <c r="GZ771" i="93"/>
  <c r="GR771" i="93"/>
  <c r="GJ771" i="93"/>
  <c r="GB771" i="93"/>
  <c r="FT771" i="93"/>
  <c r="FL771" i="93"/>
  <c r="FD771" i="93"/>
  <c r="ET771" i="93"/>
  <c r="ED771" i="93"/>
  <c r="DN771" i="93"/>
  <c r="DA771" i="93"/>
  <c r="CL771" i="93"/>
  <c r="BX771" i="93"/>
  <c r="BA771" i="93"/>
  <c r="AG771" i="93"/>
  <c r="JO771" i="93"/>
  <c r="JG771" i="93"/>
  <c r="IW771" i="93"/>
  <c r="HW771" i="93"/>
  <c r="HO771" i="93"/>
  <c r="HG771" i="93"/>
  <c r="GY771" i="93"/>
  <c r="GQ771" i="93"/>
  <c r="GI771" i="93"/>
  <c r="GA771" i="93"/>
  <c r="FS771" i="93"/>
  <c r="FK771" i="93"/>
  <c r="FC771" i="93"/>
  <c r="ES771" i="93"/>
  <c r="EC771" i="93"/>
  <c r="DM771" i="93"/>
  <c r="CZ771" i="93"/>
  <c r="CK771" i="93"/>
  <c r="BW771" i="93"/>
  <c r="AX771" i="93"/>
  <c r="AD771" i="93"/>
  <c r="JF771" i="93"/>
  <c r="IO771" i="93"/>
  <c r="HU771" i="93"/>
  <c r="HJ771" i="93"/>
  <c r="GV771" i="93"/>
  <c r="GH771" i="93"/>
  <c r="FW771" i="93"/>
  <c r="FI771" i="93"/>
  <c r="EX771" i="93"/>
  <c r="DV771" i="93"/>
  <c r="CY771" i="93"/>
  <c r="CC771" i="93"/>
  <c r="AP771" i="93"/>
  <c r="JE771" i="93"/>
  <c r="IL771" i="93"/>
  <c r="HT771" i="93"/>
  <c r="HF771" i="93"/>
  <c r="GU771" i="93"/>
  <c r="GG771" i="93"/>
  <c r="FV771" i="93"/>
  <c r="FH771" i="93"/>
  <c r="EP771" i="93"/>
  <c r="DU771" i="93"/>
  <c r="CW771" i="93"/>
  <c r="BZ771" i="93"/>
  <c r="AO771" i="93"/>
  <c r="JD771" i="93"/>
  <c r="HS771" i="93"/>
  <c r="HE771" i="93"/>
  <c r="GT771" i="93"/>
  <c r="GF771" i="93"/>
  <c r="FR771" i="93"/>
  <c r="FG771" i="93"/>
  <c r="EO771" i="93"/>
  <c r="DR771" i="93"/>
  <c r="CV771" i="93"/>
  <c r="BV771" i="93"/>
  <c r="AL771" i="93"/>
  <c r="JM771" i="93"/>
  <c r="IB771" i="93"/>
  <c r="HN771" i="93"/>
  <c r="GO771" i="93"/>
  <c r="FP771" i="93"/>
  <c r="FB771" i="93"/>
  <c r="DI771" i="93"/>
  <c r="BQ771" i="93"/>
  <c r="JL771" i="93"/>
  <c r="IT771" i="93"/>
  <c r="JN771" i="93"/>
  <c r="JC771" i="93"/>
  <c r="IC771" i="93"/>
  <c r="HR771" i="93"/>
  <c r="HD771" i="93"/>
  <c r="GP771" i="93"/>
  <c r="GE771" i="93"/>
  <c r="FQ771" i="93"/>
  <c r="FF771" i="93"/>
  <c r="EL771" i="93"/>
  <c r="DJ771" i="93"/>
  <c r="CS771" i="93"/>
  <c r="BU771" i="93"/>
  <c r="AK771" i="93"/>
  <c r="JB771" i="93"/>
  <c r="HC771" i="93"/>
  <c r="GD771" i="93"/>
  <c r="EK771" i="93"/>
  <c r="CP771" i="93"/>
  <c r="AC771" i="93"/>
  <c r="JK767" i="93"/>
  <c r="JC767" i="93"/>
  <c r="JQ767" i="93"/>
  <c r="JI767" i="93"/>
  <c r="JO767" i="93"/>
  <c r="JG767" i="93"/>
  <c r="JP767" i="93"/>
  <c r="JH767" i="93"/>
  <c r="EY767" i="93"/>
  <c r="CB767" i="93"/>
  <c r="JQ775" i="93"/>
  <c r="JI775" i="93"/>
  <c r="JP775" i="93"/>
  <c r="JH775" i="93"/>
  <c r="JO775" i="93"/>
  <c r="JG775" i="93"/>
  <c r="EY775" i="93"/>
  <c r="JD775" i="93"/>
  <c r="JN775" i="93"/>
  <c r="JC775" i="93"/>
  <c r="JM775" i="93"/>
  <c r="JK775" i="93"/>
  <c r="JL775" i="93"/>
  <c r="JJ775" i="93"/>
  <c r="AS771" i="93"/>
  <c r="DF771" i="93"/>
  <c r="FN771" i="93"/>
  <c r="GW771" i="93"/>
  <c r="IA771" i="93"/>
  <c r="JE775" i="93"/>
  <c r="BI771" i="93"/>
  <c r="DY771" i="93"/>
  <c r="FO771" i="93"/>
  <c r="GX771" i="93"/>
  <c r="IP771" i="93"/>
  <c r="BN771" i="93"/>
  <c r="JD767" i="93"/>
  <c r="CD771" i="93"/>
  <c r="EH771" i="93"/>
  <c r="FY771" i="93"/>
  <c r="HK771" i="93"/>
  <c r="JJ771" i="93"/>
  <c r="Y775" i="93"/>
  <c r="HQ770" i="93"/>
  <c r="GU770" i="93"/>
  <c r="GK770" i="93"/>
  <c r="FZ770" i="93"/>
  <c r="IA770" i="93"/>
  <c r="FU770" i="93"/>
  <c r="ES770" i="93"/>
  <c r="AM770" i="93"/>
  <c r="JM767" i="93"/>
  <c r="DZ771" i="93"/>
  <c r="IS771" i="93"/>
  <c r="JE767" i="93"/>
  <c r="CG771" i="93"/>
  <c r="EY771" i="93"/>
  <c r="FZ771" i="93"/>
  <c r="HL771" i="93"/>
  <c r="JK771" i="93"/>
  <c r="A767" i="93"/>
  <c r="JN767" i="93"/>
  <c r="JF775" i="93"/>
  <c r="FX771" i="93"/>
  <c r="HB771" i="93"/>
  <c r="JF767" i="93"/>
  <c r="A771" i="93"/>
  <c r="CH771" i="93"/>
  <c r="EZ771" i="93"/>
  <c r="GL771" i="93"/>
  <c r="HM771" i="93"/>
  <c r="JL772" i="93"/>
  <c r="JD772" i="93"/>
  <c r="HW772" i="93"/>
  <c r="HO772" i="93"/>
  <c r="HG772" i="93"/>
  <c r="GY772" i="93"/>
  <c r="GQ772" i="93"/>
  <c r="GI772" i="93"/>
  <c r="GA772" i="93"/>
  <c r="FS772" i="93"/>
  <c r="FK772" i="93"/>
  <c r="FC772" i="93"/>
  <c r="DC772" i="93"/>
  <c r="CU772" i="93"/>
  <c r="JK772" i="93"/>
  <c r="JC772" i="93"/>
  <c r="HV772" i="93"/>
  <c r="HN772" i="93"/>
  <c r="HF772" i="93"/>
  <c r="GX772" i="93"/>
  <c r="GP772" i="93"/>
  <c r="GH772" i="93"/>
  <c r="FZ772" i="93"/>
  <c r="FR772" i="93"/>
  <c r="FJ772" i="93"/>
  <c r="FB772" i="93"/>
  <c r="DB772" i="93"/>
  <c r="CT772" i="93"/>
  <c r="JJ772" i="93"/>
  <c r="IC772" i="93"/>
  <c r="HU772" i="93"/>
  <c r="HM772" i="93"/>
  <c r="HE772" i="93"/>
  <c r="GW772" i="93"/>
  <c r="GO772" i="93"/>
  <c r="GG772" i="93"/>
  <c r="FY772" i="93"/>
  <c r="FQ772" i="93"/>
  <c r="FI772" i="93"/>
  <c r="FA772" i="93"/>
  <c r="DA772" i="93"/>
  <c r="BY772" i="93"/>
  <c r="JP776" i="93"/>
  <c r="JH776" i="93"/>
  <c r="EY776" i="93"/>
  <c r="JO776" i="93"/>
  <c r="JG776" i="93"/>
  <c r="JN776" i="93"/>
  <c r="JF776" i="93"/>
  <c r="CW772" i="93"/>
  <c r="FN772" i="93"/>
  <c r="GM772" i="93"/>
  <c r="HL772" i="93"/>
  <c r="JM772" i="93"/>
  <c r="JE768" i="93"/>
  <c r="JM768" i="93"/>
  <c r="Z769" i="93"/>
  <c r="AH769" i="93"/>
  <c r="AP769" i="93"/>
  <c r="AX769" i="93"/>
  <c r="BF769" i="93"/>
  <c r="BN769" i="93"/>
  <c r="CD769" i="93"/>
  <c r="CM769" i="93"/>
  <c r="DE769" i="93"/>
  <c r="DS769" i="93"/>
  <c r="EG769" i="93"/>
  <c r="ER769" i="93"/>
  <c r="IH769" i="93"/>
  <c r="CX772" i="93"/>
  <c r="FD772" i="93"/>
  <c r="FO772" i="93"/>
  <c r="GC772" i="93"/>
  <c r="GN772" i="93"/>
  <c r="HB772" i="93"/>
  <c r="HP772" i="93"/>
  <c r="IA772" i="93"/>
  <c r="JN772" i="93"/>
  <c r="AD773" i="93"/>
  <c r="AR773" i="93"/>
  <c r="BF773" i="93"/>
  <c r="BQ773" i="93"/>
  <c r="CE773" i="93"/>
  <c r="CP773" i="93"/>
  <c r="DD773" i="93"/>
  <c r="DR773" i="93"/>
  <c r="EC773" i="93"/>
  <c r="EQ773" i="93"/>
  <c r="FB773" i="93"/>
  <c r="FP773" i="93"/>
  <c r="GD773" i="93"/>
  <c r="GO773" i="93"/>
  <c r="HC773" i="93"/>
  <c r="HN773" i="93"/>
  <c r="IB773" i="93"/>
  <c r="IP773" i="93"/>
  <c r="JJ776" i="93"/>
  <c r="JH770" i="93"/>
  <c r="JD768" i="93"/>
  <c r="JL768" i="93"/>
  <c r="EZ772" i="93"/>
  <c r="GB772" i="93"/>
  <c r="HA772" i="93"/>
  <c r="HZ772" i="93"/>
  <c r="JI776" i="93"/>
  <c r="IV769" i="93"/>
  <c r="IN769" i="93"/>
  <c r="IF769" i="93"/>
  <c r="EV769" i="93"/>
  <c r="EN769" i="93"/>
  <c r="EF769" i="93"/>
  <c r="DX769" i="93"/>
  <c r="DP769" i="93"/>
  <c r="DH769" i="93"/>
  <c r="CR769" i="93"/>
  <c r="CJ769" i="93"/>
  <c r="IU769" i="93"/>
  <c r="IM769" i="93"/>
  <c r="IE769" i="93"/>
  <c r="EU769" i="93"/>
  <c r="EM769" i="93"/>
  <c r="EE769" i="93"/>
  <c r="DW769" i="93"/>
  <c r="DO769" i="93"/>
  <c r="DG769" i="93"/>
  <c r="JB769" i="93"/>
  <c r="IT769" i="93"/>
  <c r="IL769" i="93"/>
  <c r="ID769" i="93"/>
  <c r="ET769" i="93"/>
  <c r="EL769" i="93"/>
  <c r="ED769" i="93"/>
  <c r="DV769" i="93"/>
  <c r="DN769" i="93"/>
  <c r="DF769" i="93"/>
  <c r="CP769" i="93"/>
  <c r="JN773" i="93"/>
  <c r="IW773" i="93"/>
  <c r="IO773" i="93"/>
  <c r="IG773" i="93"/>
  <c r="HY773" i="93"/>
  <c r="HQ773" i="93"/>
  <c r="HI773" i="93"/>
  <c r="HA773" i="93"/>
  <c r="GS773" i="93"/>
  <c r="GK773" i="93"/>
  <c r="GC773" i="93"/>
  <c r="FU773" i="93"/>
  <c r="FM773" i="93"/>
  <c r="FE773" i="93"/>
  <c r="EW773" i="93"/>
  <c r="EO773" i="93"/>
  <c r="EG773" i="93"/>
  <c r="DY773" i="93"/>
  <c r="DQ773" i="93"/>
  <c r="DI773" i="93"/>
  <c r="DA773" i="93"/>
  <c r="CS773" i="93"/>
  <c r="CK773" i="93"/>
  <c r="CC773" i="93"/>
  <c r="BU773" i="93"/>
  <c r="BM773" i="93"/>
  <c r="BE773" i="93"/>
  <c r="AW773" i="93"/>
  <c r="AO773" i="93"/>
  <c r="AG773" i="93"/>
  <c r="Y773" i="93"/>
  <c r="JJ773" i="93"/>
  <c r="IV773" i="93"/>
  <c r="IN773" i="93"/>
  <c r="IF773" i="93"/>
  <c r="HX773" i="93"/>
  <c r="HP773" i="93"/>
  <c r="HH773" i="93"/>
  <c r="GZ773" i="93"/>
  <c r="GR773" i="93"/>
  <c r="GJ773" i="93"/>
  <c r="GB773" i="93"/>
  <c r="FT773" i="93"/>
  <c r="FL773" i="93"/>
  <c r="FD773" i="93"/>
  <c r="EV773" i="93"/>
  <c r="EN773" i="93"/>
  <c r="EF773" i="93"/>
  <c r="DX773" i="93"/>
  <c r="DP773" i="93"/>
  <c r="DH773" i="93"/>
  <c r="CZ773" i="93"/>
  <c r="CR773" i="93"/>
  <c r="CJ773" i="93"/>
  <c r="CB773" i="93"/>
  <c r="BT773" i="93"/>
  <c r="BL773" i="93"/>
  <c r="BD773" i="93"/>
  <c r="AV773" i="93"/>
  <c r="AN773" i="93"/>
  <c r="AF773" i="93"/>
  <c r="X773" i="93"/>
  <c r="JF773" i="93"/>
  <c r="IU773" i="93"/>
  <c r="IM773" i="93"/>
  <c r="IE773" i="93"/>
  <c r="HW773" i="93"/>
  <c r="HO773" i="93"/>
  <c r="HG773" i="93"/>
  <c r="GY773" i="93"/>
  <c r="GQ773" i="93"/>
  <c r="GI773" i="93"/>
  <c r="GA773" i="93"/>
  <c r="FS773" i="93"/>
  <c r="FK773" i="93"/>
  <c r="FC773" i="93"/>
  <c r="EU773" i="93"/>
  <c r="EM773" i="93"/>
  <c r="EE773" i="93"/>
  <c r="DW773" i="93"/>
  <c r="DO773" i="93"/>
  <c r="DG773" i="93"/>
  <c r="CY773" i="93"/>
  <c r="CQ773" i="93"/>
  <c r="CI773" i="93"/>
  <c r="CA773" i="93"/>
  <c r="BS773" i="93"/>
  <c r="BK773" i="93"/>
  <c r="BC773" i="93"/>
  <c r="AU773" i="93"/>
  <c r="AM773" i="93"/>
  <c r="AE773" i="93"/>
  <c r="W773" i="93"/>
  <c r="JI769" i="93"/>
  <c r="JE769" i="93"/>
  <c r="JF768" i="93"/>
  <c r="JN768" i="93"/>
  <c r="AA769" i="93"/>
  <c r="AI769" i="93"/>
  <c r="AQ769" i="93"/>
  <c r="AY769" i="93"/>
  <c r="BG769" i="93"/>
  <c r="BO769" i="93"/>
  <c r="CE769" i="93"/>
  <c r="CN769" i="93"/>
  <c r="DI769" i="93"/>
  <c r="DT769" i="93"/>
  <c r="EH769" i="93"/>
  <c r="ES769" i="93"/>
  <c r="II769" i="93"/>
  <c r="IW769" i="93"/>
  <c r="AZ772" i="93"/>
  <c r="CY772" i="93"/>
  <c r="FE772" i="93"/>
  <c r="FP772" i="93"/>
  <c r="GD772" i="93"/>
  <c r="GR772" i="93"/>
  <c r="HC772" i="93"/>
  <c r="HQ772" i="93"/>
  <c r="IB772" i="93"/>
  <c r="JO772" i="93"/>
  <c r="AH773" i="93"/>
  <c r="AS773" i="93"/>
  <c r="BG773" i="93"/>
  <c r="BR773" i="93"/>
  <c r="CF773" i="93"/>
  <c r="CT773" i="93"/>
  <c r="DE773" i="93"/>
  <c r="DS773" i="93"/>
  <c r="ED773" i="93"/>
  <c r="ER773" i="93"/>
  <c r="FF773" i="93"/>
  <c r="FQ773" i="93"/>
  <c r="GE773" i="93"/>
  <c r="GP773" i="93"/>
  <c r="HD773" i="93"/>
  <c r="HR773" i="93"/>
  <c r="IC773" i="93"/>
  <c r="IQ773" i="93"/>
  <c r="JB773" i="93"/>
  <c r="JK776" i="93"/>
  <c r="JL776" i="93"/>
  <c r="EY768" i="93"/>
  <c r="JH768" i="93"/>
  <c r="AC769" i="93"/>
  <c r="AK769" i="93"/>
  <c r="AS769" i="93"/>
  <c r="BA769" i="93"/>
  <c r="BI769" i="93"/>
  <c r="BQ769" i="93"/>
  <c r="CG769" i="93"/>
  <c r="CQ769" i="93"/>
  <c r="DK769" i="93"/>
  <c r="DY769" i="93"/>
  <c r="EJ769" i="93"/>
  <c r="IK769" i="93"/>
  <c r="IY769" i="93"/>
  <c r="BV772" i="93"/>
  <c r="ER772" i="93"/>
  <c r="FG772" i="93"/>
  <c r="FU772" i="93"/>
  <c r="GF772" i="93"/>
  <c r="GT772" i="93"/>
  <c r="HH772" i="93"/>
  <c r="HS772" i="93"/>
  <c r="JF772" i="93"/>
  <c r="JQ772" i="93"/>
  <c r="AJ773" i="93"/>
  <c r="AX773" i="93"/>
  <c r="BI773" i="93"/>
  <c r="BW773" i="93"/>
  <c r="CH773" i="93"/>
  <c r="CV773" i="93"/>
  <c r="DJ773" i="93"/>
  <c r="DU773" i="93"/>
  <c r="EI773" i="93"/>
  <c r="ET773" i="93"/>
  <c r="FH773" i="93"/>
  <c r="FV773" i="93"/>
  <c r="GG773" i="93"/>
  <c r="GU773" i="93"/>
  <c r="HF773" i="93"/>
  <c r="HT773" i="93"/>
  <c r="IH773" i="93"/>
  <c r="IS773" i="93"/>
  <c r="JM776" i="93"/>
  <c r="AS777" i="93"/>
  <c r="BA777" i="93"/>
  <c r="BI777" i="93"/>
  <c r="BQ777" i="93"/>
  <c r="CW777" i="93"/>
  <c r="AX785" i="93"/>
  <c r="BF785" i="93"/>
  <c r="BN785" i="93"/>
  <c r="CT785" i="93"/>
  <c r="AS785" i="93"/>
  <c r="BA785" i="93"/>
  <c r="BI785" i="93"/>
  <c r="BQ785" i="93"/>
  <c r="CW785" i="93"/>
  <c r="AR785" i="93"/>
  <c r="AZ785" i="93"/>
  <c r="BH785" i="93"/>
  <c r="BP785" i="93"/>
  <c r="BD777" i="93"/>
  <c r="BL777" i="93"/>
  <c r="BT777" i="93"/>
  <c r="AW777" i="93"/>
  <c r="BE777" i="93"/>
  <c r="BM777" i="93"/>
  <c r="AX783" i="93"/>
  <c r="AT785" i="93"/>
  <c r="BB785" i="93"/>
  <c r="BJ785" i="93"/>
  <c r="BR785" i="93"/>
  <c r="CX785" i="93"/>
  <c r="AU777" i="93"/>
  <c r="BC777" i="93"/>
  <c r="BK777" i="93"/>
  <c r="BS777" i="93"/>
  <c r="CV785" i="93"/>
  <c r="AV777" i="93"/>
  <c r="AX777" i="93"/>
  <c r="BF777" i="93"/>
  <c r="BN777" i="93"/>
  <c r="BH783" i="93"/>
  <c r="AU785" i="93"/>
  <c r="BC785" i="93"/>
  <c r="BK785" i="93"/>
  <c r="BI783" i="93"/>
  <c r="CU783" i="93"/>
  <c r="CX776" i="93"/>
  <c r="BR783" i="93"/>
  <c r="CV783" i="93"/>
  <c r="BT783" i="93"/>
  <c r="CS776" i="93"/>
  <c r="GL774" i="93"/>
  <c r="FO782" i="93"/>
  <c r="BG768" i="93"/>
  <c r="CI770" i="93"/>
  <c r="GP770" i="93"/>
  <c r="AJ772" i="93"/>
  <c r="CF772" i="93"/>
  <c r="AQ774" i="93"/>
  <c r="GQ774" i="93"/>
  <c r="BC776" i="93"/>
  <c r="IH776" i="93"/>
  <c r="FL778" i="93"/>
  <c r="AM780" i="93"/>
  <c r="FZ782" i="93"/>
  <c r="AP786" i="93"/>
  <c r="IH788" i="93"/>
  <c r="ID792" i="93"/>
  <c r="ID793" i="93"/>
  <c r="FN796" i="93"/>
  <c r="GC796" i="93"/>
  <c r="GP796" i="93"/>
  <c r="HF796" i="93"/>
  <c r="HU796" i="93"/>
  <c r="JG796" i="93"/>
  <c r="BB797" i="93"/>
  <c r="CN797" i="93"/>
  <c r="EX797" i="93"/>
  <c r="FS797" i="93"/>
  <c r="GN797" i="93"/>
  <c r="HL797" i="93"/>
  <c r="FB800" i="93"/>
  <c r="FW800" i="93"/>
  <c r="GS800" i="93"/>
  <c r="HM800" i="93"/>
  <c r="FD804" i="93"/>
  <c r="GS804" i="93"/>
  <c r="JM770" i="93"/>
  <c r="IE768" i="93"/>
  <c r="CM774" i="93"/>
  <c r="GV774" i="93"/>
  <c r="DK776" i="93"/>
  <c r="CP784" i="93"/>
  <c r="JI774" i="93"/>
  <c r="DW768" i="93"/>
  <c r="IU768" i="93"/>
  <c r="EY770" i="93"/>
  <c r="HF770" i="93"/>
  <c r="BP772" i="93"/>
  <c r="EZ774" i="93"/>
  <c r="HG774" i="93"/>
  <c r="EG776" i="93"/>
  <c r="GB778" i="93"/>
  <c r="DQ780" i="93"/>
  <c r="HF782" i="93"/>
  <c r="AF784" i="93"/>
  <c r="HY786" i="93"/>
  <c r="AT788" i="93"/>
  <c r="FG790" i="93"/>
  <c r="CU796" i="93"/>
  <c r="CX796" i="93"/>
  <c r="CW804" i="93"/>
  <c r="CU804" i="93"/>
  <c r="CT804" i="93"/>
  <c r="CY774" i="93"/>
  <c r="ER782" i="93"/>
  <c r="EH790" i="93"/>
  <c r="GY792" i="93"/>
  <c r="GP792" i="93"/>
  <c r="GG792" i="93"/>
  <c r="FX792" i="93"/>
  <c r="FN792" i="93"/>
  <c r="FE792" i="93"/>
  <c r="EW792" i="93"/>
  <c r="JP800" i="93"/>
  <c r="JO800" i="93"/>
  <c r="HS800" i="93"/>
  <c r="HG800" i="93"/>
  <c r="GW800" i="93"/>
  <c r="GM800" i="93"/>
  <c r="GC800" i="93"/>
  <c r="FR800" i="93"/>
  <c r="FH800" i="93"/>
  <c r="EX800" i="93"/>
  <c r="JN800" i="93"/>
  <c r="IC800" i="93"/>
  <c r="HQ800" i="93"/>
  <c r="HF800" i="93"/>
  <c r="GV800" i="93"/>
  <c r="GL800" i="93"/>
  <c r="GA800" i="93"/>
  <c r="FQ800" i="93"/>
  <c r="FG800" i="93"/>
  <c r="JM800" i="93"/>
  <c r="HZ800" i="93"/>
  <c r="HO800" i="93"/>
  <c r="HE800" i="93"/>
  <c r="GU800" i="93"/>
  <c r="GK800" i="93"/>
  <c r="FZ800" i="93"/>
  <c r="FP800" i="93"/>
  <c r="FE800" i="93"/>
  <c r="DQ770" i="93"/>
  <c r="JP788" i="93"/>
  <c r="IB788" i="93"/>
  <c r="HT788" i="93"/>
  <c r="HL788" i="93"/>
  <c r="HD788" i="93"/>
  <c r="GV788" i="93"/>
  <c r="GN788" i="93"/>
  <c r="GF788" i="93"/>
  <c r="FX788" i="93"/>
  <c r="FP788" i="93"/>
  <c r="FH788" i="93"/>
  <c r="IC796" i="93"/>
  <c r="HT796" i="93"/>
  <c r="HK796" i="93"/>
  <c r="HB796" i="93"/>
  <c r="GS796" i="93"/>
  <c r="GI796" i="93"/>
  <c r="FZ796" i="93"/>
  <c r="FQ796" i="93"/>
  <c r="FH796" i="93"/>
  <c r="IB796" i="93"/>
  <c r="HS796" i="93"/>
  <c r="HJ796" i="93"/>
  <c r="HA796" i="93"/>
  <c r="GQ796" i="93"/>
  <c r="GH796" i="93"/>
  <c r="FY796" i="93"/>
  <c r="FP796" i="93"/>
  <c r="FG796" i="93"/>
  <c r="HW796" i="93"/>
  <c r="HN796" i="93"/>
  <c r="HE796" i="93"/>
  <c r="GV796" i="93"/>
  <c r="GM796" i="93"/>
  <c r="GD796" i="93"/>
  <c r="FU796" i="93"/>
  <c r="FK796" i="93"/>
  <c r="FB796" i="93"/>
  <c r="JE804" i="93"/>
  <c r="HL804" i="93"/>
  <c r="GR804" i="93"/>
  <c r="FU804" i="93"/>
  <c r="IC804" i="93"/>
  <c r="HI804" i="93"/>
  <c r="GO804" i="93"/>
  <c r="FT804" i="93"/>
  <c r="IB804" i="93"/>
  <c r="HH804" i="93"/>
  <c r="GK804" i="93"/>
  <c r="FP804" i="93"/>
  <c r="HQ804" i="93"/>
  <c r="GW804" i="93"/>
  <c r="GC804" i="93"/>
  <c r="FI804" i="93"/>
  <c r="C970" i="93"/>
  <c r="C971" i="93"/>
  <c r="CM768" i="93"/>
  <c r="JN774" i="93"/>
  <c r="EE792" i="93"/>
  <c r="GJ782" i="93"/>
  <c r="EM768" i="93"/>
  <c r="FE770" i="93"/>
  <c r="HK770" i="93"/>
  <c r="DL772" i="93"/>
  <c r="IJ772" i="93"/>
  <c r="FF774" i="93"/>
  <c r="HL774" i="93"/>
  <c r="GR778" i="93"/>
  <c r="HP782" i="93"/>
  <c r="BA784" i="93"/>
  <c r="ID784" i="93"/>
  <c r="BP788" i="93"/>
  <c r="DL788" i="93"/>
  <c r="HS790" i="93"/>
  <c r="GA774" i="93"/>
  <c r="AO782" i="93"/>
  <c r="AB792" i="93"/>
  <c r="BX790" i="93"/>
  <c r="FO770" i="93"/>
  <c r="EB772" i="93"/>
  <c r="FP774" i="93"/>
  <c r="DM784" i="93"/>
  <c r="BT804" i="93"/>
  <c r="FY804" i="93"/>
  <c r="HM804" i="93"/>
  <c r="CP801" i="93"/>
  <c r="BS801" i="93"/>
  <c r="BR801" i="93"/>
  <c r="EC801" i="93"/>
  <c r="BF801" i="93"/>
  <c r="CL801" i="93"/>
  <c r="AL801" i="93"/>
  <c r="IH793" i="93"/>
  <c r="EP793" i="93"/>
  <c r="DQ793" i="93"/>
  <c r="CL793" i="93"/>
  <c r="BM793" i="93"/>
  <c r="BA793" i="93"/>
  <c r="AO793" i="93"/>
  <c r="AD793" i="93"/>
  <c r="IW785" i="93"/>
  <c r="IK785" i="93"/>
  <c r="EO785" i="93"/>
  <c r="IU789" i="93"/>
  <c r="II789" i="93"/>
  <c r="IA789" i="93"/>
  <c r="HS789" i="93"/>
  <c r="HK789" i="93"/>
  <c r="HC789" i="93"/>
  <c r="GU789" i="93"/>
  <c r="GM789" i="93"/>
  <c r="GE789" i="93"/>
  <c r="FW789" i="93"/>
  <c r="FO789" i="93"/>
  <c r="FG789" i="93"/>
  <c r="EY789" i="93"/>
  <c r="EL789" i="93"/>
  <c r="DV789" i="93"/>
  <c r="DF789" i="93"/>
  <c r="CV789" i="93"/>
  <c r="CN789" i="93"/>
  <c r="CF789" i="93"/>
  <c r="BX789" i="93"/>
  <c r="BP789" i="93"/>
  <c r="BH789" i="93"/>
  <c r="AZ789" i="93"/>
  <c r="AR789" i="93"/>
  <c r="AJ789" i="93"/>
  <c r="AB789" i="93"/>
  <c r="JN797" i="93"/>
  <c r="IB797" i="93"/>
  <c r="HR797" i="93"/>
  <c r="HG797" i="93"/>
  <c r="GV797" i="93"/>
  <c r="GL797" i="93"/>
  <c r="GA797" i="93"/>
  <c r="FP797" i="93"/>
  <c r="FF797" i="93"/>
  <c r="EP797" i="93"/>
  <c r="CY797" i="93"/>
  <c r="CD797" i="93"/>
  <c r="BH797" i="93"/>
  <c r="AO797" i="93"/>
  <c r="Y797" i="93"/>
  <c r="IV797" i="93"/>
  <c r="HW797" i="93"/>
  <c r="HK797" i="93"/>
  <c r="GY797" i="93"/>
  <c r="GM797" i="93"/>
  <c r="FZ797" i="93"/>
  <c r="FN797" i="93"/>
  <c r="IL797" i="93"/>
  <c r="HS797" i="93"/>
  <c r="HD797" i="93"/>
  <c r="GQ797" i="93"/>
  <c r="GD797" i="93"/>
  <c r="FO797" i="93"/>
  <c r="FB797" i="93"/>
  <c r="DT797" i="93"/>
  <c r="CM797" i="93"/>
  <c r="BN797" i="93"/>
  <c r="AR797" i="93"/>
  <c r="X797" i="93"/>
  <c r="IH797" i="93"/>
  <c r="HP797" i="93"/>
  <c r="HC797" i="93"/>
  <c r="GP797" i="93"/>
  <c r="GB797" i="93"/>
  <c r="FL797" i="93"/>
  <c r="EZ797" i="93"/>
  <c r="DN797" i="93"/>
  <c r="CI797" i="93"/>
  <c r="BL797" i="93"/>
  <c r="AN797" i="93"/>
  <c r="JH797" i="93"/>
  <c r="HX797" i="93"/>
  <c r="HJ797" i="93"/>
  <c r="GU797" i="93"/>
  <c r="GH797" i="93"/>
  <c r="FT797" i="93"/>
  <c r="FG797" i="93"/>
  <c r="EI797" i="93"/>
  <c r="CT797" i="93"/>
  <c r="BW797" i="93"/>
  <c r="AX797" i="93"/>
  <c r="AF797" i="93"/>
  <c r="AP791" i="93"/>
  <c r="BX791" i="93"/>
  <c r="CV791" i="93"/>
  <c r="DK791" i="93"/>
  <c r="EM791" i="93"/>
  <c r="FA791" i="93"/>
  <c r="FQ791" i="93"/>
  <c r="GG791" i="93"/>
  <c r="GW791" i="93"/>
  <c r="IB791" i="93"/>
  <c r="HH792" i="93"/>
  <c r="HQ792" i="93"/>
  <c r="HZ792" i="93"/>
  <c r="JH792" i="93"/>
  <c r="FC793" i="93"/>
  <c r="FL793" i="93"/>
  <c r="FU793" i="93"/>
  <c r="GE793" i="93"/>
  <c r="GN793" i="93"/>
  <c r="GW793" i="93"/>
  <c r="HF793" i="93"/>
  <c r="HO793" i="93"/>
  <c r="DS795" i="93"/>
  <c r="EW795" i="93"/>
  <c r="FU795" i="93"/>
  <c r="JJ795" i="93"/>
  <c r="JE796" i="93"/>
  <c r="BV799" i="93"/>
  <c r="CY799" i="93"/>
  <c r="EA799" i="93"/>
  <c r="FE799" i="93"/>
  <c r="GS799" i="93"/>
  <c r="AM800" i="93"/>
  <c r="CY800" i="93"/>
  <c r="FA800" i="93"/>
  <c r="FK800" i="93"/>
  <c r="FV800" i="93"/>
  <c r="GF800" i="93"/>
  <c r="GQ800" i="93"/>
  <c r="HB800" i="93"/>
  <c r="HL800" i="93"/>
  <c r="HV800" i="93"/>
  <c r="FY801" i="93"/>
  <c r="FL803" i="93"/>
  <c r="JL796" i="93"/>
  <c r="JD796" i="93"/>
  <c r="HX796" i="93"/>
  <c r="HP796" i="93"/>
  <c r="HH796" i="93"/>
  <c r="GZ796" i="93"/>
  <c r="GR796" i="93"/>
  <c r="GJ796" i="93"/>
  <c r="GB796" i="93"/>
  <c r="FT796" i="93"/>
  <c r="FL796" i="93"/>
  <c r="FD796" i="93"/>
  <c r="EU796" i="93"/>
  <c r="CW796" i="93"/>
  <c r="AV796" i="93"/>
  <c r="JI804" i="93"/>
  <c r="HT804" i="93"/>
  <c r="HD804" i="93"/>
  <c r="GN804" i="93"/>
  <c r="FX804" i="93"/>
  <c r="FH804" i="93"/>
  <c r="DB804" i="93"/>
  <c r="BY804" i="93"/>
  <c r="JM804" i="93"/>
  <c r="HU804" i="93"/>
  <c r="HA804" i="93"/>
  <c r="GJ804" i="93"/>
  <c r="FQ804" i="93"/>
  <c r="EZ804" i="93"/>
  <c r="CV804" i="93"/>
  <c r="X767" i="93"/>
  <c r="AF767" i="93"/>
  <c r="AN767" i="93"/>
  <c r="AV767" i="93"/>
  <c r="Y767" i="93"/>
  <c r="AG767" i="93"/>
  <c r="AO767" i="93"/>
  <c r="AW767" i="93"/>
  <c r="AJ767" i="93"/>
  <c r="AZ767" i="93"/>
  <c r="AC767" i="93"/>
  <c r="AS767" i="93"/>
  <c r="Z767" i="93"/>
  <c r="AH767" i="93"/>
  <c r="AP767" i="93"/>
  <c r="AX767" i="93"/>
  <c r="AA767" i="93"/>
  <c r="AI767" i="93"/>
  <c r="AQ767" i="93"/>
  <c r="AY767" i="93"/>
  <c r="AB767" i="93"/>
  <c r="AR767" i="93"/>
  <c r="AK767" i="93"/>
  <c r="BA767" i="93"/>
  <c r="AD767" i="93"/>
  <c r="AL767" i="93"/>
  <c r="AT767" i="93"/>
  <c r="BB767" i="93"/>
  <c r="W767" i="93"/>
  <c r="AE767" i="93"/>
  <c r="AM767" i="93"/>
  <c r="AU767" i="93"/>
  <c r="IX799" i="93"/>
  <c r="HN799" i="93"/>
  <c r="GH799" i="93"/>
  <c r="FB799" i="93"/>
  <c r="EI799" i="93"/>
  <c r="DC799" i="93"/>
  <c r="CP799" i="93"/>
  <c r="BT799" i="93"/>
  <c r="JL799" i="93"/>
  <c r="GX799" i="93"/>
  <c r="FM799" i="93"/>
  <c r="ER799" i="93"/>
  <c r="DF799" i="93"/>
  <c r="CI799" i="93"/>
  <c r="AZ799" i="93"/>
  <c r="JP803" i="93"/>
  <c r="JD803" i="93"/>
  <c r="HL801" i="93"/>
  <c r="HK801" i="93"/>
  <c r="FO801" i="93"/>
  <c r="IV803" i="93"/>
  <c r="ED803" i="93"/>
  <c r="DD803" i="93"/>
  <c r="O838" i="93"/>
  <c r="K885" i="93"/>
  <c r="F925" i="93"/>
  <c r="JK803" i="93"/>
  <c r="AD768" i="93"/>
  <c r="AL768" i="93"/>
  <c r="AT768" i="93"/>
  <c r="BB768" i="93"/>
  <c r="W768" i="93"/>
  <c r="AE768" i="93"/>
  <c r="AM768" i="93"/>
  <c r="AU768" i="93"/>
  <c r="AP768" i="93"/>
  <c r="AA768" i="93"/>
  <c r="AQ768" i="93"/>
  <c r="X768" i="93"/>
  <c r="AF768" i="93"/>
  <c r="AN768" i="93"/>
  <c r="AV768" i="93"/>
  <c r="Y768" i="93"/>
  <c r="AG768" i="93"/>
  <c r="AO768" i="93"/>
  <c r="AW768" i="93"/>
  <c r="Z768" i="93"/>
  <c r="AH768" i="93"/>
  <c r="AX768" i="93"/>
  <c r="AI768" i="93"/>
  <c r="AY768" i="93"/>
  <c r="AB768" i="93"/>
  <c r="AJ768" i="93"/>
  <c r="AR768" i="93"/>
  <c r="AZ768" i="93"/>
  <c r="AC768" i="93"/>
  <c r="AK768" i="93"/>
  <c r="AS768" i="93"/>
  <c r="BA768" i="93"/>
  <c r="JO792" i="93"/>
  <c r="JG792" i="93"/>
  <c r="IA792" i="93"/>
  <c r="HS792" i="93"/>
  <c r="HK792" i="93"/>
  <c r="HC792" i="93"/>
  <c r="GU792" i="93"/>
  <c r="GM792" i="93"/>
  <c r="GE792" i="93"/>
  <c r="FW792" i="93"/>
  <c r="FO792" i="93"/>
  <c r="FG792" i="93"/>
  <c r="JQ800" i="93"/>
  <c r="JF800" i="93"/>
  <c r="HX800" i="93"/>
  <c r="HP800" i="93"/>
  <c r="HH800" i="93"/>
  <c r="GZ800" i="93"/>
  <c r="GR800" i="93"/>
  <c r="GJ800" i="93"/>
  <c r="GB800" i="93"/>
  <c r="FT800" i="93"/>
  <c r="FL800" i="93"/>
  <c r="FD800" i="93"/>
  <c r="DZ800" i="93"/>
  <c r="CU800" i="93"/>
  <c r="JK800" i="93"/>
  <c r="IA800" i="93"/>
  <c r="HR800" i="93"/>
  <c r="HI800" i="93"/>
  <c r="GY800" i="93"/>
  <c r="GP800" i="93"/>
  <c r="GG800" i="93"/>
  <c r="FX800" i="93"/>
  <c r="FO800" i="93"/>
  <c r="FF800" i="93"/>
  <c r="EW800" i="93"/>
  <c r="CT800" i="93"/>
  <c r="JL803" i="93"/>
  <c r="CU767" i="93"/>
  <c r="CU775" i="93"/>
  <c r="CW783" i="93"/>
  <c r="CX791" i="93"/>
  <c r="CX799" i="93"/>
  <c r="HB795" i="93"/>
  <c r="FV795" i="93"/>
  <c r="EY795" i="93"/>
  <c r="HH803" i="93"/>
  <c r="GB803" i="93"/>
  <c r="FA803" i="93"/>
  <c r="HG803" i="93"/>
  <c r="FT803" i="93"/>
  <c r="EX803" i="93"/>
  <c r="P924" i="93"/>
  <c r="BE803" i="93"/>
  <c r="JB793" i="93"/>
  <c r="IJ793" i="93"/>
  <c r="HZ793" i="93"/>
  <c r="HR793" i="93"/>
  <c r="HJ793" i="93"/>
  <c r="HB793" i="93"/>
  <c r="GT793" i="93"/>
  <c r="GL793" i="93"/>
  <c r="GD793" i="93"/>
  <c r="FV793" i="93"/>
  <c r="FN793" i="93"/>
  <c r="FF793" i="93"/>
  <c r="EX793" i="93"/>
  <c r="EF793" i="93"/>
  <c r="DJ793" i="93"/>
  <c r="CV793" i="93"/>
  <c r="CK793" i="93"/>
  <c r="BZ793" i="93"/>
  <c r="BP793" i="93"/>
  <c r="BE793" i="93"/>
  <c r="AT793" i="93"/>
  <c r="AJ793" i="93"/>
  <c r="AA793" i="93"/>
  <c r="HE801" i="93"/>
  <c r="FT801" i="93"/>
  <c r="CY801" i="93"/>
  <c r="BJ801" i="93"/>
  <c r="HW774" i="93"/>
  <c r="GU782" i="93"/>
  <c r="G885" i="93"/>
  <c r="J907" i="93"/>
  <c r="IF795" i="93"/>
  <c r="DC795" i="93"/>
  <c r="CQ795" i="93"/>
  <c r="BV795" i="93"/>
  <c r="AI795" i="93"/>
  <c r="CZ803" i="93"/>
  <c r="CD803" i="93"/>
  <c r="AH803" i="93"/>
  <c r="O839" i="93"/>
  <c r="I894" i="93"/>
  <c r="M898" i="93"/>
  <c r="IZ771" i="93"/>
  <c r="CU792" i="93"/>
  <c r="A1097" i="93"/>
  <c r="H1097" i="93" s="1"/>
  <c r="CX771" i="93"/>
  <c r="CW800" i="93"/>
  <c r="DB770" i="93"/>
  <c r="DR778" i="93"/>
  <c r="IM786" i="93"/>
  <c r="AB794" i="93"/>
  <c r="JP804" i="93"/>
  <c r="ES774" i="93"/>
  <c r="DL782" i="93"/>
  <c r="IP790" i="93"/>
  <c r="N889" i="93"/>
  <c r="H894" i="93"/>
  <c r="P894" i="93"/>
  <c r="N898" i="93"/>
  <c r="L898" i="93"/>
  <c r="HV770" i="93"/>
  <c r="HP778" i="93"/>
  <c r="FP802" i="93"/>
  <c r="H889" i="93"/>
  <c r="P889" i="93"/>
  <c r="L903" i="93"/>
  <c r="H907" i="93"/>
  <c r="P907" i="93"/>
  <c r="K916" i="93"/>
  <c r="CU779" i="93"/>
  <c r="CV787" i="93"/>
  <c r="CX795" i="93"/>
  <c r="CU803" i="93"/>
  <c r="I907"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l="1"/>
  <c r="C978" i="93" s="1"/>
  <c r="C992" i="93"/>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K823"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H455" i="93"/>
  <c r="G455" i="93"/>
  <c r="H444" i="93"/>
  <c r="G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A512" i="93"/>
  <c r="E504" i="93"/>
  <c r="F504" i="93" s="1"/>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U546" i="93" l="1"/>
  <c r="U565" i="93"/>
  <c r="M867" i="93"/>
  <c r="M868" i="93"/>
  <c r="D474" i="93"/>
  <c r="U452" i="93"/>
  <c r="J604" i="93"/>
  <c r="J562" i="93"/>
  <c r="P453" i="93"/>
  <c r="A561" i="93"/>
  <c r="M562" i="93"/>
  <c r="G566" i="93"/>
  <c r="M566" i="93"/>
  <c r="J815" i="93"/>
  <c r="M864" i="93"/>
  <c r="U512" i="93"/>
  <c r="M459" i="93"/>
  <c r="J746" i="93"/>
  <c r="G453" i="93"/>
  <c r="A450" i="93"/>
  <c r="S453" i="93"/>
  <c r="P519" i="93"/>
  <c r="G547" i="93"/>
  <c r="P554" i="93"/>
  <c r="S459" i="93"/>
  <c r="S463" i="93"/>
  <c r="L393" i="93"/>
  <c r="S527" i="93"/>
  <c r="N868" i="93"/>
  <c r="L864" i="93"/>
  <c r="M863" i="93"/>
  <c r="L867" i="93"/>
  <c r="K864" i="93"/>
  <c r="N864" i="93"/>
  <c r="O943" i="93"/>
  <c r="N815" i="93"/>
  <c r="N817" i="93" s="1"/>
  <c r="N819" i="93" s="1"/>
  <c r="M815" i="93"/>
  <c r="M817" i="93" s="1"/>
  <c r="M819" i="93" s="1"/>
  <c r="J867" i="93"/>
  <c r="M843" i="93"/>
  <c r="L730" i="93"/>
  <c r="S566" i="93"/>
  <c r="S562" i="93"/>
  <c r="K862" i="93"/>
  <c r="O847" i="93"/>
  <c r="O850" i="93"/>
  <c r="J868" i="93"/>
  <c r="N861" i="93"/>
  <c r="N867" i="93"/>
  <c r="J864" i="93"/>
  <c r="J862" i="93"/>
  <c r="K863" i="93"/>
  <c r="N863" i="93"/>
  <c r="J861" i="93"/>
  <c r="O833" i="93"/>
  <c r="L868" i="93"/>
  <c r="J827" i="93"/>
  <c r="U561" i="93"/>
  <c r="A565" i="93"/>
  <c r="S541" i="93"/>
  <c r="S513" i="93"/>
  <c r="S500" i="93"/>
  <c r="J500" i="93"/>
  <c r="G500" i="93"/>
  <c r="J474" i="93"/>
  <c r="P582" i="93"/>
  <c r="P586" i="93" s="1"/>
  <c r="L746" i="93"/>
  <c r="M746" i="93"/>
  <c r="M469" i="93"/>
  <c r="S469" i="93"/>
  <c r="O846" i="93"/>
  <c r="O844" i="93"/>
  <c r="N862" i="93"/>
  <c r="O855" i="93"/>
  <c r="M500" i="93"/>
  <c r="S547" i="93"/>
  <c r="J582" i="93"/>
  <c r="J586" i="93" s="1"/>
  <c r="J872" i="93"/>
  <c r="J874" i="93" s="1"/>
  <c r="V568" i="93"/>
  <c r="M474" i="93"/>
  <c r="P513" i="93"/>
  <c r="J834" i="93"/>
  <c r="U450" i="93"/>
  <c r="A452" i="93"/>
  <c r="U451" i="93"/>
  <c r="J469" i="93"/>
  <c r="P474" i="93"/>
  <c r="U526" i="93"/>
  <c r="A546" i="93"/>
  <c r="G513" i="93"/>
  <c r="J519" i="93"/>
  <c r="M519" i="93"/>
  <c r="J566" i="93"/>
  <c r="P566" i="93"/>
  <c r="J730" i="93"/>
  <c r="I746" i="93"/>
  <c r="N827" i="93"/>
  <c r="K867" i="93"/>
  <c r="J513" i="93"/>
  <c r="P562" i="93"/>
  <c r="M730" i="93"/>
  <c r="G474" i="93"/>
  <c r="M453" i="93"/>
  <c r="M513" i="93"/>
  <c r="U540" i="93"/>
  <c r="G541" i="93"/>
  <c r="K730" i="93"/>
  <c r="K861" i="93"/>
  <c r="O941" i="93"/>
  <c r="O942" i="93"/>
  <c r="S519" i="93"/>
  <c r="G463" i="93"/>
  <c r="S474" i="93"/>
  <c r="K746" i="93"/>
  <c r="M872" i="93"/>
  <c r="M874" i="93" s="1"/>
  <c r="M876" i="93" s="1"/>
  <c r="P469" i="93"/>
  <c r="O814" i="93"/>
  <c r="O858" i="93"/>
  <c r="P500" i="93"/>
  <c r="G554" i="93"/>
  <c r="O816" i="93"/>
  <c r="J453" i="93"/>
  <c r="J463" i="93"/>
  <c r="I730" i="93"/>
  <c r="O813" i="93"/>
  <c r="E977" i="93"/>
  <c r="E975" i="93"/>
  <c r="E971" i="93"/>
  <c r="E970" i="93"/>
  <c r="F969" i="93"/>
  <c r="D972" i="93"/>
  <c r="D992"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G562" i="93"/>
  <c r="S554" i="93"/>
  <c r="M554" i="93"/>
  <c r="J554" i="93"/>
  <c r="U539" i="93"/>
  <c r="A540" i="93"/>
  <c r="G527" i="93"/>
  <c r="G519" i="93"/>
  <c r="U498" i="93"/>
  <c r="U499" i="93"/>
  <c r="A539" i="93"/>
  <c r="A526" i="93"/>
  <c r="A499" i="93"/>
  <c r="A498" i="93"/>
  <c r="G469" i="93"/>
  <c r="E471" i="93" s="1"/>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78" i="93" l="1"/>
  <c r="P568" i="93"/>
  <c r="P585" i="93" s="1"/>
  <c r="P587" i="93" s="1"/>
  <c r="P589" i="93" s="1"/>
  <c r="S568" i="93"/>
  <c r="O867" i="93"/>
  <c r="O864" i="93"/>
  <c r="O868" i="93"/>
  <c r="O862" i="93"/>
  <c r="O863" i="93"/>
  <c r="O823" i="93"/>
  <c r="B480" i="93"/>
  <c r="E473" i="93"/>
  <c r="E472" i="93"/>
  <c r="J568" i="93"/>
  <c r="J585" i="93" s="1"/>
  <c r="J587" i="93" s="1"/>
  <c r="J589" i="93" s="1"/>
  <c r="M568" i="93"/>
  <c r="M585" i="93" s="1"/>
  <c r="M587" i="93" s="1"/>
  <c r="M589" i="93" s="1"/>
  <c r="O843" i="93"/>
  <c r="O841" i="93"/>
  <c r="P944" i="93" s="1"/>
  <c r="P945" i="93" s="1"/>
  <c r="E972" i="93"/>
  <c r="E978" i="93" s="1"/>
  <c r="F971" i="93"/>
  <c r="G969" i="93"/>
  <c r="F977" i="93"/>
  <c r="F975" i="93"/>
  <c r="F970" i="93"/>
  <c r="O861" i="93"/>
  <c r="O837" i="93"/>
  <c r="O831" i="93"/>
  <c r="O815" i="93"/>
  <c r="O834" i="93"/>
  <c r="O819" i="93"/>
  <c r="J939" i="93" s="1"/>
  <c r="O827" i="93"/>
  <c r="O872" i="93"/>
  <c r="O817" i="93"/>
  <c r="O874" i="93"/>
  <c r="J876" i="93"/>
  <c r="O876" i="93" s="1"/>
  <c r="G568" i="93"/>
  <c r="F483"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E474" i="93" l="1"/>
  <c r="G470" i="93" s="1"/>
  <c r="E992" i="93"/>
  <c r="O944" i="93"/>
  <c r="J938" i="93"/>
  <c r="J937" i="93"/>
  <c r="O945" i="93"/>
  <c r="H83" i="93"/>
  <c r="F472" i="93"/>
  <c r="F471" i="93"/>
  <c r="F470" i="93" s="1"/>
  <c r="F473" i="93"/>
  <c r="F551" i="93"/>
  <c r="F549" i="93"/>
  <c r="F553" i="93"/>
  <c r="F552" i="93"/>
  <c r="G970" i="93"/>
  <c r="H969" i="93"/>
  <c r="G971" i="93"/>
  <c r="G977" i="93"/>
  <c r="G975" i="93"/>
  <c r="F972" i="93"/>
  <c r="F978" i="93" s="1"/>
  <c r="P182" i="93"/>
  <c r="L49" i="93"/>
  <c r="A206" i="85"/>
  <c r="A10" i="83"/>
  <c r="I9" i="92"/>
  <c r="G11" i="91"/>
  <c r="F992" i="93" l="1"/>
  <c r="H977" i="93"/>
  <c r="H975" i="93"/>
  <c r="H971" i="93"/>
  <c r="I969" i="93"/>
  <c r="H970" i="93"/>
  <c r="G972" i="93"/>
  <c r="G978" i="93" s="1"/>
  <c r="F197" i="90"/>
  <c r="D101" i="90"/>
  <c r="E163" i="90"/>
  <c r="C16" i="90"/>
  <c r="A206" i="90"/>
  <c r="A200" i="90"/>
  <c r="C5" i="90"/>
  <c r="C8" i="84"/>
  <c r="E8" i="84"/>
  <c r="H2" i="91" s="1"/>
  <c r="G992" i="93" l="1"/>
  <c r="I977" i="93"/>
  <c r="I975" i="93"/>
  <c r="I971" i="93"/>
  <c r="I970" i="93"/>
  <c r="J969" i="93"/>
  <c r="H972" i="93"/>
  <c r="H978"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C21" i="90" l="1"/>
  <c r="H992" i="93"/>
  <c r="I972" i="93"/>
  <c r="I978" i="93" s="1"/>
  <c r="J977" i="93"/>
  <c r="J975" i="93"/>
  <c r="J970" i="93"/>
  <c r="J971" i="93"/>
  <c r="K969" i="93"/>
  <c r="K7" i="88"/>
  <c r="I992" i="93" l="1"/>
  <c r="B999" i="93"/>
  <c r="K970" i="93"/>
  <c r="K977" i="93"/>
  <c r="K975" i="93"/>
  <c r="K971" i="93"/>
  <c r="J972" i="93"/>
  <c r="J978" i="93" s="1"/>
  <c r="A2" i="88"/>
  <c r="J992" i="93" l="1"/>
  <c r="K972" i="93"/>
  <c r="K978" i="93" s="1"/>
  <c r="B1007" i="93"/>
  <c r="B1005" i="93"/>
  <c r="B1001" i="93"/>
  <c r="C999" i="93"/>
  <c r="B1000" i="93"/>
  <c r="B1" i="87"/>
  <c r="D54" i="86"/>
  <c r="E54" i="86"/>
  <c r="F54" i="86"/>
  <c r="G54" i="86"/>
  <c r="H54" i="86"/>
  <c r="K992" i="93" l="1"/>
  <c r="C1000" i="93"/>
  <c r="C1005" i="93"/>
  <c r="D999" i="93"/>
  <c r="C1007" i="93"/>
  <c r="C1001" i="93"/>
  <c r="B1002" i="93"/>
  <c r="B1008"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22" i="93" l="1"/>
  <c r="E171" i="90"/>
  <c r="E170" i="90"/>
  <c r="E999" i="93"/>
  <c r="D1000" i="93"/>
  <c r="D1007" i="93"/>
  <c r="D1005" i="93"/>
  <c r="D1001" i="93"/>
  <c r="C1002" i="93"/>
  <c r="C1022" i="93" s="1"/>
  <c r="C1008" i="93" l="1"/>
  <c r="D1002" i="93"/>
  <c r="D1008" i="93" s="1"/>
  <c r="E1007" i="93"/>
  <c r="E1005" i="93"/>
  <c r="E1001" i="93"/>
  <c r="F999" i="93"/>
  <c r="E1000" i="93"/>
  <c r="H1" i="91"/>
  <c r="C28" i="90"/>
  <c r="G5" i="92" s="1"/>
  <c r="E28" i="89"/>
  <c r="E15" i="89"/>
  <c r="A1" i="89"/>
  <c r="O6" i="86"/>
  <c r="F13" i="85"/>
  <c r="F12" i="85"/>
  <c r="A2" i="83"/>
  <c r="P1840" i="93"/>
  <c r="O1840" i="93"/>
  <c r="D1022" i="93" l="1"/>
  <c r="E1002" i="93"/>
  <c r="E1008"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22" i="93" l="1"/>
  <c r="K36" i="88"/>
  <c r="D15" i="83"/>
  <c r="F15" i="85"/>
  <c r="G1000" i="93"/>
  <c r="G1001" i="93"/>
  <c r="G1007" i="93"/>
  <c r="H999" i="93"/>
  <c r="G1005" i="93"/>
  <c r="F1002" i="93"/>
  <c r="F1008" i="93" s="1"/>
  <c r="C8" i="90"/>
  <c r="B5" i="92" s="1"/>
  <c r="E65" i="89"/>
  <c r="E5" i="89"/>
  <c r="F102" i="78"/>
  <c r="F101" i="78"/>
  <c r="G6" i="74"/>
  <c r="F1022" i="93" l="1"/>
  <c r="I999" i="93"/>
  <c r="H1000" i="93"/>
  <c r="H1001" i="93"/>
  <c r="H1005" i="93"/>
  <c r="H1007" i="93"/>
  <c r="G1002" i="93"/>
  <c r="G1008" i="93" s="1"/>
  <c r="O12" i="86"/>
  <c r="K5" i="86"/>
  <c r="F56" i="86"/>
  <c r="G1022" i="93" l="1"/>
  <c r="H1002" i="93"/>
  <c r="H1022" i="93" s="1"/>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08" i="93" l="1"/>
  <c r="J1007" i="93"/>
  <c r="J1005" i="93"/>
  <c r="J1001" i="93"/>
  <c r="K999" i="93"/>
  <c r="J1000" i="93"/>
  <c r="I1002" i="93"/>
  <c r="I1008" i="93" s="1"/>
  <c r="F84" i="92"/>
  <c r="C34" i="84"/>
  <c r="C29" i="84"/>
  <c r="I1022" i="93" l="1"/>
  <c r="K26" i="84"/>
  <c r="K33" i="84"/>
  <c r="K1007" i="93"/>
  <c r="B1029" i="93"/>
  <c r="K1000" i="93"/>
  <c r="K1005" i="93"/>
  <c r="K1001" i="93"/>
  <c r="J1002" i="93"/>
  <c r="J1008" i="93" s="1"/>
  <c r="K29" i="84"/>
  <c r="A47" i="84"/>
  <c r="C36" i="84"/>
  <c r="J1022" i="93" l="1"/>
  <c r="K37" i="84"/>
  <c r="K35" i="84"/>
  <c r="K1002" i="93"/>
  <c r="K1022" i="93" s="1"/>
  <c r="K1008" i="93"/>
  <c r="C1029" i="93"/>
  <c r="B1030" i="93"/>
  <c r="B1035" i="93"/>
  <c r="B1037" i="93"/>
  <c r="B1031" i="93"/>
  <c r="B1051" i="93" l="1"/>
  <c r="B1032" i="93"/>
  <c r="B1038" i="93" s="1"/>
  <c r="C1037" i="93"/>
  <c r="C1035" i="93"/>
  <c r="C1031" i="93"/>
  <c r="D1029" i="93"/>
  <c r="C1030" i="93"/>
  <c r="C1032" i="93" l="1"/>
  <c r="C1038" i="93" s="1"/>
  <c r="D1037" i="93"/>
  <c r="D1035" i="93"/>
  <c r="D1031" i="93"/>
  <c r="E1029" i="93"/>
  <c r="D1030" i="93"/>
  <c r="B18" i="82"/>
  <c r="B38" i="82"/>
  <c r="B32" i="82"/>
  <c r="B35" i="82" s="1"/>
  <c r="B36" i="82" s="1"/>
  <c r="B24" i="82"/>
  <c r="B48" i="82"/>
  <c r="C48" i="82" s="1"/>
  <c r="D48" i="82" s="1"/>
  <c r="C1051" i="93" l="1"/>
  <c r="D1032" i="93"/>
  <c r="D1051" i="93" s="1"/>
  <c r="E1030" i="93"/>
  <c r="E1037" i="93"/>
  <c r="E1035" i="93"/>
  <c r="E1031" i="93"/>
  <c r="F1029" i="93"/>
  <c r="E48" i="82"/>
  <c r="F48" i="82" s="1"/>
  <c r="D1038" i="93" l="1"/>
  <c r="G1029" i="93"/>
  <c r="F1030" i="93"/>
  <c r="F1031" i="93"/>
  <c r="F1037" i="93"/>
  <c r="F1035" i="93"/>
  <c r="E1032" i="93"/>
  <c r="E1038" i="93" s="1"/>
  <c r="G48" i="82"/>
  <c r="E1051" i="93" l="1"/>
  <c r="F1032" i="93"/>
  <c r="F1038" i="93" s="1"/>
  <c r="G1037" i="93"/>
  <c r="G1035" i="93"/>
  <c r="G1031" i="93"/>
  <c r="H1029" i="93"/>
  <c r="G1030" i="93"/>
  <c r="H48" i="82"/>
  <c r="F1051" i="93" l="1"/>
  <c r="G1032" i="93"/>
  <c r="G1038" i="93" s="1"/>
  <c r="H1037" i="93"/>
  <c r="H1035" i="93"/>
  <c r="H1031" i="93"/>
  <c r="H1030" i="93"/>
  <c r="I1029" i="93"/>
  <c r="I48" i="82"/>
  <c r="G1051" i="93" l="1"/>
  <c r="I1030" i="93"/>
  <c r="J1029" i="93"/>
  <c r="I1031" i="93"/>
  <c r="I1037" i="93"/>
  <c r="I1035" i="93"/>
  <c r="H1032" i="93"/>
  <c r="H1038" i="93" s="1"/>
  <c r="J48" i="82"/>
  <c r="H1051" i="93" l="1"/>
  <c r="K1029" i="93"/>
  <c r="J1030" i="93"/>
  <c r="J1035" i="93"/>
  <c r="J1031" i="93"/>
  <c r="J1037" i="93"/>
  <c r="I1032" i="93"/>
  <c r="I1038" i="93" s="1"/>
  <c r="K48" i="82"/>
  <c r="I1051" i="93" l="1"/>
  <c r="J1032" i="93"/>
  <c r="J1038" i="93" s="1"/>
  <c r="K1037" i="93"/>
  <c r="K1035" i="93"/>
  <c r="K1031" i="93"/>
  <c r="B1057" i="93"/>
  <c r="K1030" i="93"/>
  <c r="B68" i="82"/>
  <c r="J1051" i="93" l="1"/>
  <c r="K1032" i="93"/>
  <c r="K1038" i="93" s="1"/>
  <c r="B1058" i="93"/>
  <c r="C1057" i="93"/>
  <c r="B1063" i="93"/>
  <c r="B1059" i="93"/>
  <c r="B1065" i="93"/>
  <c r="C68" i="82"/>
  <c r="K1051" i="93" l="1"/>
  <c r="C1065" i="93"/>
  <c r="C1058" i="93"/>
  <c r="D1057" i="93"/>
  <c r="C1063" i="93"/>
  <c r="C1059" i="93"/>
  <c r="B1060" i="93"/>
  <c r="B1066" i="93" s="1"/>
  <c r="D68" i="82"/>
  <c r="B1079" i="93" l="1"/>
  <c r="D1065" i="93"/>
  <c r="D1058" i="93"/>
  <c r="E1057" i="93"/>
  <c r="D1063" i="93"/>
  <c r="D1059" i="93"/>
  <c r="C1060" i="93"/>
  <c r="C1066" i="93" s="1"/>
  <c r="E68" i="82"/>
  <c r="C1079" i="93" l="1"/>
  <c r="E1063" i="93"/>
  <c r="E1059" i="93"/>
  <c r="E1065" i="93"/>
  <c r="E1058" i="93"/>
  <c r="F1057" i="93"/>
  <c r="D1060" i="93"/>
  <c r="D1066" i="93" s="1"/>
  <c r="F68" i="82"/>
  <c r="D1079" i="93" l="1"/>
  <c r="E1060" i="93"/>
  <c r="E1079" i="93" s="1"/>
  <c r="E1066" i="93"/>
  <c r="F1058" i="93"/>
  <c r="F1063" i="93"/>
  <c r="F1059" i="93"/>
  <c r="F1065" i="93"/>
  <c r="G68" i="82"/>
  <c r="F1060" i="93" l="1"/>
  <c r="F1066" i="93" s="1"/>
  <c r="H68" i="82"/>
  <c r="F1079" i="93" l="1"/>
  <c r="I68" i="82"/>
  <c r="C59" i="82" l="1"/>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785" i="93"/>
  <c r="K785" i="93" s="1"/>
  <c r="L785" i="93" s="1"/>
  <c r="I784" i="93"/>
  <c r="K784" i="93" s="1"/>
  <c r="L784" i="93" s="1"/>
  <c r="I783" i="93"/>
  <c r="K783" i="93" s="1"/>
  <c r="L783" i="93" s="1"/>
  <c r="I782" i="93"/>
  <c r="K782" i="93" s="1"/>
  <c r="L782" i="93" s="1"/>
  <c r="I781" i="93"/>
  <c r="K781" i="93" s="1"/>
  <c r="L781" i="93" s="1"/>
  <c r="I780" i="93"/>
  <c r="K780" i="93" s="1"/>
  <c r="L780" i="93" s="1"/>
  <c r="I779" i="93"/>
  <c r="K779" i="93" s="1"/>
  <c r="L779" i="93" s="1"/>
  <c r="I778" i="93"/>
  <c r="K778" i="93" s="1"/>
  <c r="L778" i="93" s="1"/>
  <c r="I777" i="93"/>
  <c r="K777" i="93" s="1"/>
  <c r="L777" i="93" s="1"/>
  <c r="K230" i="72" l="1"/>
  <c r="K1784" i="93" s="1"/>
  <c r="O1665" i="93"/>
  <c r="L230" i="72"/>
  <c r="L1784" i="93" s="1"/>
  <c r="P1665" i="93"/>
  <c r="H86" i="66"/>
  <c r="H84" i="66"/>
  <c r="H83" i="66"/>
  <c r="N84" i="66" s="1"/>
  <c r="B20" i="74"/>
  <c r="P927" i="93"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6" i="75"/>
  <c r="R783" i="93" s="1"/>
  <c r="R25" i="75"/>
  <c r="R782" i="93" s="1"/>
  <c r="R23" i="75"/>
  <c r="R780"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D20"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I26" i="74" s="1"/>
  <c r="I982" i="93" s="1"/>
  <c r="I990" i="93" s="1"/>
  <c r="N39" i="68"/>
  <c r="N38" i="68"/>
  <c r="N37" i="68"/>
  <c r="S34" i="68"/>
  <c r="L30" i="68"/>
  <c r="S16" i="68"/>
  <c r="S3" i="68"/>
  <c r="L151" i="67"/>
  <c r="P171" i="66"/>
  <c r="H72" i="66"/>
  <c r="H13" i="84" s="1"/>
  <c r="L38" i="66"/>
  <c r="I14" i="75" l="1"/>
  <c r="I15" i="75"/>
  <c r="I16" i="75"/>
  <c r="I18" i="75"/>
  <c r="I19" i="75"/>
  <c r="I17" i="75"/>
  <c r="C20" i="74"/>
  <c r="R24" i="75"/>
  <c r="R781" i="93" s="1"/>
  <c r="I10" i="75"/>
  <c r="I11" i="75"/>
  <c r="I12" i="75"/>
  <c r="I13" i="75"/>
  <c r="R27" i="75"/>
  <c r="R784" i="93" s="1"/>
  <c r="R20" i="75"/>
  <c r="R777" i="93" s="1"/>
  <c r="R28" i="75"/>
  <c r="R785" i="93" s="1"/>
  <c r="R21" i="75"/>
  <c r="R778" i="93" s="1"/>
  <c r="R22" i="75"/>
  <c r="R779" i="93" s="1"/>
  <c r="O1974" i="93"/>
  <c r="P66" i="93"/>
  <c r="G995" i="93"/>
  <c r="I12" i="86"/>
  <c r="B994" i="93"/>
  <c r="C11" i="86"/>
  <c r="D11" i="86"/>
  <c r="J994" i="93"/>
  <c r="E31" i="86"/>
  <c r="H995" i="93"/>
  <c r="C32" i="86"/>
  <c r="B1024" i="93"/>
  <c r="G31" i="86"/>
  <c r="J1024" i="93"/>
  <c r="H51" i="86"/>
  <c r="H1025" i="93"/>
  <c r="F52" i="86"/>
  <c r="T1729" i="93"/>
  <c r="A2011" i="93"/>
  <c r="T1727" i="93"/>
  <c r="F1910" i="93"/>
  <c r="A623" i="93"/>
  <c r="I712" i="93"/>
  <c r="A364" i="93"/>
  <c r="L31" i="68"/>
  <c r="L394" i="93" s="1"/>
  <c r="L395" i="93" s="1"/>
  <c r="F115" i="78"/>
  <c r="C133" i="90"/>
  <c r="L59" i="85" s="1"/>
  <c r="I60" i="84"/>
  <c r="G60" i="84"/>
  <c r="E60" i="84"/>
  <c r="K60" i="84"/>
  <c r="C994" i="93"/>
  <c r="E11" i="86"/>
  <c r="K994" i="93"/>
  <c r="F31" i="86"/>
  <c r="I995" i="93"/>
  <c r="D32" i="86"/>
  <c r="C1024" i="93"/>
  <c r="H31" i="86"/>
  <c r="I1025" i="93"/>
  <c r="G52" i="86"/>
  <c r="I1024" i="93"/>
  <c r="G51" i="86"/>
  <c r="D994" i="93"/>
  <c r="F11" i="86"/>
  <c r="J995" i="93"/>
  <c r="E32" i="86"/>
  <c r="D1024" i="93"/>
  <c r="I31" i="86"/>
  <c r="E994" i="93"/>
  <c r="G11" i="86"/>
  <c r="C995" i="93"/>
  <c r="E12" i="86"/>
  <c r="K995" i="93"/>
  <c r="F32" i="86"/>
  <c r="E1024" i="93"/>
  <c r="C51" i="86"/>
  <c r="C1025" i="93"/>
  <c r="H32" i="86"/>
  <c r="K25" i="74"/>
  <c r="K981" i="93" s="1"/>
  <c r="N402" i="93"/>
  <c r="Q769" i="93"/>
  <c r="F994" i="93"/>
  <c r="H11" i="86"/>
  <c r="D995" i="93"/>
  <c r="F12" i="86"/>
  <c r="F1024" i="93"/>
  <c r="D51" i="86"/>
  <c r="D1025" i="93"/>
  <c r="I32" i="86"/>
  <c r="P932" i="93"/>
  <c r="N928" i="93"/>
  <c r="N929" i="93"/>
  <c r="I994" i="93"/>
  <c r="D31" i="86"/>
  <c r="B995" i="93"/>
  <c r="D12" i="86"/>
  <c r="C12" i="86"/>
  <c r="J1025" i="93"/>
  <c r="H52" i="86"/>
  <c r="D114" i="74"/>
  <c r="D1070" i="93" s="1"/>
  <c r="N403" i="93"/>
  <c r="Q770" i="93"/>
  <c r="E61" i="84"/>
  <c r="G61" i="84"/>
  <c r="K61" i="84"/>
  <c r="I61" i="84"/>
  <c r="G994" i="93"/>
  <c r="I11" i="86"/>
  <c r="E995" i="93"/>
  <c r="G12" i="86"/>
  <c r="J56" i="74"/>
  <c r="J1012" i="93" s="1"/>
  <c r="J1020" i="93" s="1"/>
  <c r="G1024" i="93"/>
  <c r="E51" i="86"/>
  <c r="E1025" i="93"/>
  <c r="C52" i="86"/>
  <c r="G1025" i="93"/>
  <c r="E52" i="86"/>
  <c r="C111" i="74"/>
  <c r="N400" i="93"/>
  <c r="I59" i="84"/>
  <c r="G59" i="84"/>
  <c r="K59" i="84"/>
  <c r="E59" i="84"/>
  <c r="B1025" i="93"/>
  <c r="G32" i="86"/>
  <c r="F112" i="74"/>
  <c r="F1068" i="93" s="1"/>
  <c r="F1075" i="93" s="1"/>
  <c r="N401" i="93"/>
  <c r="G55" i="84"/>
  <c r="E55" i="84"/>
  <c r="I55" i="84"/>
  <c r="K55" i="84"/>
  <c r="C58" i="84"/>
  <c r="B53" i="82"/>
  <c r="B984" i="93"/>
  <c r="H994" i="93"/>
  <c r="C31" i="86"/>
  <c r="F995" i="93"/>
  <c r="H12" i="86"/>
  <c r="H1024" i="93"/>
  <c r="F51" i="86"/>
  <c r="F1025" i="93"/>
  <c r="D52" i="86"/>
  <c r="I83" i="74"/>
  <c r="O1870" i="93"/>
  <c r="G101" i="90"/>
  <c r="E41" i="72"/>
  <c r="E1595" i="93" s="1"/>
  <c r="O1968" i="93"/>
  <c r="A839" i="93"/>
  <c r="A3" i="93"/>
  <c r="J50" i="93"/>
  <c r="C43" i="90"/>
  <c r="H8" i="84"/>
  <c r="F14" i="85" s="1"/>
  <c r="A3" i="83" s="1"/>
  <c r="F86" i="74"/>
  <c r="D23" i="74"/>
  <c r="E53" i="74"/>
  <c r="C54" i="74"/>
  <c r="K54" i="74"/>
  <c r="G23" i="74"/>
  <c r="E24" i="74"/>
  <c r="G25" i="74"/>
  <c r="H53" i="74"/>
  <c r="F54" i="74"/>
  <c r="D55" i="74"/>
  <c r="D83" i="74"/>
  <c r="B84" i="74"/>
  <c r="J84" i="74"/>
  <c r="J86" i="74"/>
  <c r="D112" i="74"/>
  <c r="B24" i="74"/>
  <c r="G84" i="74"/>
  <c r="C112" i="74"/>
  <c r="H23" i="74"/>
  <c r="F24" i="74"/>
  <c r="I53" i="74"/>
  <c r="G54" i="74"/>
  <c r="G1010" i="93" s="1"/>
  <c r="G1018" i="93" s="1"/>
  <c r="B56" i="74"/>
  <c r="E83" i="74"/>
  <c r="C84" i="74"/>
  <c r="K84" i="74"/>
  <c r="D111" i="74"/>
  <c r="E114" i="74"/>
  <c r="J24" i="74"/>
  <c r="C23" i="74"/>
  <c r="K23" i="74"/>
  <c r="I24" i="74"/>
  <c r="E26" i="74"/>
  <c r="D53" i="74"/>
  <c r="B54" i="74"/>
  <c r="J54" i="74"/>
  <c r="F56" i="74"/>
  <c r="H83" i="74"/>
  <c r="F84" i="74"/>
  <c r="B86" i="74"/>
  <c r="E111" i="74"/>
  <c r="P84" i="72"/>
  <c r="P1638" i="93" s="1"/>
  <c r="F36" i="78"/>
  <c r="E59" i="74"/>
  <c r="E29" i="74"/>
  <c r="I29" i="74"/>
  <c r="D59" i="74"/>
  <c r="F29" i="74"/>
  <c r="J29" i="74"/>
  <c r="C59" i="74"/>
  <c r="C29" i="74"/>
  <c r="G29" i="74"/>
  <c r="K29" i="74"/>
  <c r="F59" i="74"/>
  <c r="B59" i="74"/>
  <c r="D29" i="74"/>
  <c r="H29" i="74"/>
  <c r="B29" i="74"/>
  <c r="N55" i="66"/>
  <c r="C28" i="74"/>
  <c r="F116" i="78"/>
  <c r="F113" i="78"/>
  <c r="F117" i="78"/>
  <c r="O272" i="72"/>
  <c r="O1826" i="93" s="1"/>
  <c r="Q55" i="73"/>
  <c r="P42" i="73"/>
  <c r="P1136" i="93" s="1"/>
  <c r="O40" i="66"/>
  <c r="I34"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E23" i="74"/>
  <c r="I23" i="74"/>
  <c r="C24" i="74"/>
  <c r="C980" i="93" s="1"/>
  <c r="C988" i="93" s="1"/>
  <c r="G24" i="74"/>
  <c r="G980" i="93" s="1"/>
  <c r="G988" i="93" s="1"/>
  <c r="K24" i="74"/>
  <c r="K980" i="93" s="1"/>
  <c r="K988" i="93" s="1"/>
  <c r="C26" i="74"/>
  <c r="C982" i="93" s="1"/>
  <c r="C990" i="93" s="1"/>
  <c r="G26" i="74"/>
  <c r="G982" i="93" s="1"/>
  <c r="G990" i="93" s="1"/>
  <c r="K26" i="74"/>
  <c r="K982" i="93" s="1"/>
  <c r="K990" i="93" s="1"/>
  <c r="B53" i="74"/>
  <c r="F53" i="74"/>
  <c r="J53" i="74"/>
  <c r="D54" i="74"/>
  <c r="D1010" i="93" s="1"/>
  <c r="D1018" i="93" s="1"/>
  <c r="H54" i="74"/>
  <c r="H1010" i="93" s="1"/>
  <c r="H1018" i="93" s="1"/>
  <c r="D56" i="74"/>
  <c r="D1012" i="93" s="1"/>
  <c r="D1020" i="93" s="1"/>
  <c r="H56" i="74"/>
  <c r="H1012" i="93" s="1"/>
  <c r="H1020" i="93" s="1"/>
  <c r="B83" i="74"/>
  <c r="F83" i="74"/>
  <c r="J83" i="74"/>
  <c r="D84" i="74"/>
  <c r="D1040" i="93" s="1"/>
  <c r="D1047" i="93" s="1"/>
  <c r="H84" i="74"/>
  <c r="H1040" i="93" s="1"/>
  <c r="H1047" i="93" s="1"/>
  <c r="D86" i="74"/>
  <c r="D1042" i="93" s="1"/>
  <c r="D1049" i="93" s="1"/>
  <c r="H86" i="74"/>
  <c r="H1042" i="93" s="1"/>
  <c r="H1049" i="93" s="1"/>
  <c r="B111" i="74"/>
  <c r="F111" i="74"/>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B37" i="74" s="1"/>
  <c r="B993" i="93" s="1"/>
  <c r="F23" i="74"/>
  <c r="J23" i="74"/>
  <c r="D24" i="74"/>
  <c r="D980" i="93" s="1"/>
  <c r="D988" i="93" s="1"/>
  <c r="H24" i="74"/>
  <c r="H980" i="93" s="1"/>
  <c r="H988" i="93" s="1"/>
  <c r="D26" i="74"/>
  <c r="D982" i="93" s="1"/>
  <c r="D990" i="93" s="1"/>
  <c r="H26" i="74"/>
  <c r="H982" i="93" s="1"/>
  <c r="H990" i="93" s="1"/>
  <c r="C53" i="74"/>
  <c r="G53" i="74"/>
  <c r="K53" i="74"/>
  <c r="E54" i="74"/>
  <c r="E1010" i="93" s="1"/>
  <c r="E1018" i="93" s="1"/>
  <c r="I54" i="74"/>
  <c r="I1010" i="93" s="1"/>
  <c r="I1018" i="93" s="1"/>
  <c r="E56" i="74"/>
  <c r="E1012" i="93" s="1"/>
  <c r="E1020" i="93" s="1"/>
  <c r="I56" i="74"/>
  <c r="I1012" i="93" s="1"/>
  <c r="I1020" i="93" s="1"/>
  <c r="C83" i="74"/>
  <c r="G83" i="74"/>
  <c r="K83" i="74"/>
  <c r="E84" i="74"/>
  <c r="E1040" i="93" s="1"/>
  <c r="E1047" i="93" s="1"/>
  <c r="I84" i="74"/>
  <c r="I1040" i="93" s="1"/>
  <c r="I1047" i="93" s="1"/>
  <c r="E86" i="74"/>
  <c r="E1042" i="93" s="1"/>
  <c r="E1049" i="93" s="1"/>
  <c r="I86" i="74"/>
  <c r="I1042" i="93" s="1"/>
  <c r="I1049" i="93" s="1"/>
  <c r="B112" i="74"/>
  <c r="B1068" i="93" s="1"/>
  <c r="B1075" i="93" s="1"/>
  <c r="P170" i="75"/>
  <c r="C68" i="84" s="1"/>
  <c r="A1" i="73"/>
  <c r="A1" i="75"/>
  <c r="U1" i="75" s="1"/>
  <c r="A1" i="78"/>
  <c r="W1" i="78" s="1"/>
  <c r="A1" i="68"/>
  <c r="S1" i="68" s="1"/>
  <c r="T173" i="72"/>
  <c r="A1" i="67"/>
  <c r="T175" i="72"/>
  <c r="I3" i="76"/>
  <c r="I40" i="66"/>
  <c r="I51" i="93" s="1"/>
  <c r="A3" i="71"/>
  <c r="A1" i="76"/>
  <c r="O84" i="72"/>
  <c r="O1638" i="93" s="1"/>
  <c r="P303" i="72"/>
  <c r="P1857" i="93" s="1"/>
  <c r="O307" i="72"/>
  <c r="O1861" i="93" s="1"/>
  <c r="P307" i="72"/>
  <c r="P1861" i="93" s="1"/>
  <c r="O80" i="72"/>
  <c r="O1634" i="93" s="1"/>
  <c r="E13" i="74"/>
  <c r="E20" i="74" s="1"/>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P151" i="78"/>
  <c r="P153" i="78" s="1"/>
  <c r="F35" i="78"/>
  <c r="F37" i="78"/>
  <c r="E35" i="78"/>
  <c r="K33" i="74" l="1"/>
  <c r="J64" i="74"/>
  <c r="I774" i="93"/>
  <c r="K774" i="93" s="1"/>
  <c r="L774" i="93" s="1"/>
  <c r="K17" i="75"/>
  <c r="L17" i="75" s="1"/>
  <c r="I769" i="93"/>
  <c r="K769" i="93" s="1"/>
  <c r="L769" i="93" s="1"/>
  <c r="K12" i="75"/>
  <c r="L12" i="75" s="1"/>
  <c r="I771" i="93"/>
  <c r="K771" i="93" s="1"/>
  <c r="L771" i="93" s="1"/>
  <c r="K14" i="75"/>
  <c r="L14" i="75" s="1"/>
  <c r="I772" i="93"/>
  <c r="K772" i="93" s="1"/>
  <c r="L772" i="93" s="1"/>
  <c r="K15" i="75"/>
  <c r="L15" i="75" s="1"/>
  <c r="I775" i="93"/>
  <c r="K775" i="93" s="1"/>
  <c r="L775" i="93" s="1"/>
  <c r="K18" i="75"/>
  <c r="L18" i="75" s="1"/>
  <c r="I768" i="93"/>
  <c r="K768" i="93" s="1"/>
  <c r="L768" i="93" s="1"/>
  <c r="K11" i="75"/>
  <c r="L11" i="75" s="1"/>
  <c r="I770" i="93"/>
  <c r="K770" i="93" s="1"/>
  <c r="L770" i="93" s="1"/>
  <c r="K13" i="75"/>
  <c r="L13" i="75" s="1"/>
  <c r="I767" i="93"/>
  <c r="K767" i="93" s="1"/>
  <c r="L767" i="93" s="1"/>
  <c r="K10" i="75"/>
  <c r="L10" i="75" s="1"/>
  <c r="I773" i="93"/>
  <c r="K773" i="93" s="1"/>
  <c r="L773" i="93" s="1"/>
  <c r="K16" i="75"/>
  <c r="L16" i="75" s="1"/>
  <c r="I776" i="93"/>
  <c r="K776" i="93" s="1"/>
  <c r="L776" i="93" s="1"/>
  <c r="K19" i="75"/>
  <c r="L19" i="75" s="1"/>
  <c r="F1067" i="93"/>
  <c r="F1078" i="93" s="1"/>
  <c r="J1039" i="93"/>
  <c r="J1046" i="93" s="1"/>
  <c r="C37" i="74"/>
  <c r="D37" i="74" s="1"/>
  <c r="G1039" i="93"/>
  <c r="G1046" i="93" s="1"/>
  <c r="C1067" i="93"/>
  <c r="C1074" i="93" s="1"/>
  <c r="K1039" i="93"/>
  <c r="C10" i="86"/>
  <c r="I1039" i="93"/>
  <c r="I1050" i="93" s="1"/>
  <c r="P67" i="72"/>
  <c r="P1621" i="93" s="1"/>
  <c r="O67" i="72"/>
  <c r="O1621" i="93" s="1"/>
  <c r="B979" i="93"/>
  <c r="E8" i="87"/>
  <c r="C75" i="84"/>
  <c r="F1009" i="93"/>
  <c r="E22" i="87"/>
  <c r="K985" i="93"/>
  <c r="E34" i="86"/>
  <c r="C1009" i="93"/>
  <c r="E19" i="87"/>
  <c r="F1039" i="93"/>
  <c r="E32" i="87"/>
  <c r="B1009" i="93"/>
  <c r="E18" i="87"/>
  <c r="E979" i="93"/>
  <c r="E11" i="87"/>
  <c r="B4" i="82"/>
  <c r="G1776" i="93"/>
  <c r="J1937" i="93"/>
  <c r="I422" i="93"/>
  <c r="K9" i="88"/>
  <c r="K23" i="88" s="1"/>
  <c r="K28" i="88" s="1"/>
  <c r="F39" i="88" s="1"/>
  <c r="C18" i="84"/>
  <c r="O51" i="93"/>
  <c r="T1728" i="93"/>
  <c r="M763" i="93"/>
  <c r="O763" i="93"/>
  <c r="C53" i="82"/>
  <c r="C984" i="93"/>
  <c r="G985" i="93"/>
  <c r="H14" i="86"/>
  <c r="E1015" i="93"/>
  <c r="I34" i="86"/>
  <c r="F64" i="74"/>
  <c r="F1012" i="93"/>
  <c r="F1020" i="93" s="1"/>
  <c r="J32" i="74"/>
  <c r="J980" i="93"/>
  <c r="J988" i="93" s="1"/>
  <c r="I1009" i="93"/>
  <c r="E25" i="87"/>
  <c r="J91" i="74"/>
  <c r="J1040" i="93"/>
  <c r="J1047" i="93" s="1"/>
  <c r="G979" i="93"/>
  <c r="E13" i="87"/>
  <c r="G68" i="84"/>
  <c r="E68" i="84"/>
  <c r="K68" i="84"/>
  <c r="I68" i="84"/>
  <c r="C1039" i="93"/>
  <c r="E29" i="87"/>
  <c r="B1039" i="93"/>
  <c r="E28" i="87"/>
  <c r="C985" i="93"/>
  <c r="D14" i="86"/>
  <c r="J62" i="74"/>
  <c r="J1010" i="93"/>
  <c r="J1018" i="93" s="1"/>
  <c r="E121" i="74"/>
  <c r="E1070" i="93"/>
  <c r="E1077" i="93" s="1"/>
  <c r="F32" i="74"/>
  <c r="F980" i="93"/>
  <c r="F988" i="93" s="1"/>
  <c r="B91" i="74"/>
  <c r="B1040" i="93"/>
  <c r="B1047" i="93" s="1"/>
  <c r="K62" i="74"/>
  <c r="K1010" i="93"/>
  <c r="K1018" i="93" s="1"/>
  <c r="I58" i="84"/>
  <c r="I62" i="84" s="1"/>
  <c r="G58" i="84"/>
  <c r="G62" i="84" s="1"/>
  <c r="K58" i="84"/>
  <c r="K62" i="84" s="1"/>
  <c r="C62" i="84"/>
  <c r="E58" i="84"/>
  <c r="E62" i="84" s="1"/>
  <c r="J151" i="78"/>
  <c r="J153" i="78" s="1"/>
  <c r="E3" i="86"/>
  <c r="B1067" i="93"/>
  <c r="F47" i="78"/>
  <c r="H18" i="84"/>
  <c r="C1015" i="93"/>
  <c r="G34" i="86"/>
  <c r="D1067" i="93"/>
  <c r="K91" i="74"/>
  <c r="K1040" i="93"/>
  <c r="K1047" i="93" s="1"/>
  <c r="C119" i="74"/>
  <c r="C1068" i="93"/>
  <c r="C1075" i="93" s="1"/>
  <c r="E1009" i="93"/>
  <c r="E21" i="87"/>
  <c r="G62" i="74"/>
  <c r="D28" i="74"/>
  <c r="E28" i="74" s="1"/>
  <c r="D985" i="93"/>
  <c r="E14" i="86"/>
  <c r="F985" i="93"/>
  <c r="G14" i="86"/>
  <c r="E1067" i="93"/>
  <c r="E34" i="74"/>
  <c r="E982" i="93"/>
  <c r="E990" i="93" s="1"/>
  <c r="C91" i="74"/>
  <c r="C1040" i="93"/>
  <c r="C1047" i="93" s="1"/>
  <c r="G91" i="74"/>
  <c r="G1040" i="93"/>
  <c r="G1047" i="93" s="1"/>
  <c r="F62" i="74"/>
  <c r="F1010" i="93"/>
  <c r="F1018" i="93" s="1"/>
  <c r="D979" i="93"/>
  <c r="E10" i="87"/>
  <c r="I979" i="93"/>
  <c r="E15" i="87"/>
  <c r="H1039" i="93"/>
  <c r="J93" i="74"/>
  <c r="J1042" i="93"/>
  <c r="J1049" i="93" s="1"/>
  <c r="B985" i="93"/>
  <c r="C14" i="86"/>
  <c r="B62" i="74"/>
  <c r="B1010" i="93"/>
  <c r="B1018" i="93" s="1"/>
  <c r="D1039" i="93"/>
  <c r="E30" i="87"/>
  <c r="D1077" i="93"/>
  <c r="H985" i="93"/>
  <c r="I14" i="86"/>
  <c r="D1009" i="93"/>
  <c r="E20" i="87"/>
  <c r="J979" i="93"/>
  <c r="E16" i="87"/>
  <c r="D121" i="74"/>
  <c r="B1015" i="93"/>
  <c r="F34" i="86"/>
  <c r="D1015" i="93"/>
  <c r="H34" i="86"/>
  <c r="B93" i="74"/>
  <c r="B1042" i="93"/>
  <c r="B1049" i="93" s="1"/>
  <c r="I32" i="74"/>
  <c r="I980" i="93"/>
  <c r="I988" i="93" s="1"/>
  <c r="E1039" i="93"/>
  <c r="E31" i="87"/>
  <c r="B32" i="74"/>
  <c r="B980" i="93"/>
  <c r="B988" i="93" s="1"/>
  <c r="H1009" i="93"/>
  <c r="E24" i="87"/>
  <c r="F93" i="74"/>
  <c r="F1042" i="93"/>
  <c r="F1049" i="93" s="1"/>
  <c r="O933" i="93"/>
  <c r="K989" i="93"/>
  <c r="G1009" i="93"/>
  <c r="E23" i="87"/>
  <c r="E985" i="93"/>
  <c r="F14" i="86"/>
  <c r="C979" i="93"/>
  <c r="E9" i="87"/>
  <c r="E32" i="74"/>
  <c r="E980" i="93"/>
  <c r="E988" i="93" s="1"/>
  <c r="H979" i="93"/>
  <c r="E14" i="87"/>
  <c r="C62" i="74"/>
  <c r="C1010" i="93"/>
  <c r="C1018" i="93" s="1"/>
  <c r="F119" i="74"/>
  <c r="J985" i="93"/>
  <c r="D34" i="86"/>
  <c r="D63" i="74"/>
  <c r="D1011" i="93"/>
  <c r="D1019" i="93" s="1"/>
  <c r="K1009" i="93"/>
  <c r="E27" i="87"/>
  <c r="F979" i="93"/>
  <c r="E12" i="87"/>
  <c r="J1009" i="93"/>
  <c r="E26" i="87"/>
  <c r="F1015" i="93"/>
  <c r="C54" i="86"/>
  <c r="I985" i="93"/>
  <c r="C34" i="86"/>
  <c r="F91" i="74"/>
  <c r="F1040" i="93"/>
  <c r="F1047" i="93" s="1"/>
  <c r="K979" i="93"/>
  <c r="E17" i="87"/>
  <c r="B64" i="74"/>
  <c r="B1012" i="93"/>
  <c r="B1020" i="93" s="1"/>
  <c r="D119" i="74"/>
  <c r="D1068" i="93"/>
  <c r="D1075" i="93" s="1"/>
  <c r="G33" i="74"/>
  <c r="G981" i="93"/>
  <c r="G989" i="93" s="1"/>
  <c r="K65" i="82"/>
  <c r="F45" i="82"/>
  <c r="E65" i="82"/>
  <c r="J45" i="82"/>
  <c r="H45" i="82"/>
  <c r="C65" i="82"/>
  <c r="D45" i="82"/>
  <c r="G65" i="82"/>
  <c r="B45" i="82"/>
  <c r="J65" i="82"/>
  <c r="K45" i="82"/>
  <c r="G45" i="82"/>
  <c r="D65" i="82"/>
  <c r="H65" i="82"/>
  <c r="I65" i="82"/>
  <c r="F65" i="82"/>
  <c r="I45" i="82"/>
  <c r="C45" i="82"/>
  <c r="B65" i="82"/>
  <c r="E45" i="82"/>
  <c r="R37" i="74"/>
  <c r="R33" i="74"/>
  <c r="R29" i="74"/>
  <c r="R25" i="74"/>
  <c r="R21" i="74"/>
  <c r="R35" i="74"/>
  <c r="R31" i="74"/>
  <c r="R23" i="74"/>
  <c r="R26" i="74"/>
  <c r="R22" i="74"/>
  <c r="R36" i="74"/>
  <c r="R32" i="74"/>
  <c r="R28" i="74"/>
  <c r="R24" i="74"/>
  <c r="R20" i="74"/>
  <c r="R27" i="74"/>
  <c r="R19" i="74"/>
  <c r="R38" i="74"/>
  <c r="R34" i="74"/>
  <c r="R30" i="74"/>
  <c r="B41" i="74"/>
  <c r="J383" i="72"/>
  <c r="M384" i="72" s="1"/>
  <c r="P45" i="73"/>
  <c r="P1139" i="93" s="1"/>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G92" i="74"/>
  <c r="E91" i="74"/>
  <c r="B121" i="74"/>
  <c r="H91" i="74"/>
  <c r="D62" i="74"/>
  <c r="K34" i="74"/>
  <c r="I92" i="74"/>
  <c r="F63" i="74"/>
  <c r="J92" i="74"/>
  <c r="F33" i="74"/>
  <c r="K63" i="74"/>
  <c r="I93" i="74"/>
  <c r="E64" i="74"/>
  <c r="B34" i="74"/>
  <c r="H64"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G32" i="74"/>
  <c r="K93" i="74"/>
  <c r="H92" i="74"/>
  <c r="I63" i="74"/>
  <c r="E120" i="74"/>
  <c r="H32" i="74"/>
  <c r="C93" i="74"/>
  <c r="D91" i="74"/>
  <c r="G34" i="74"/>
  <c r="C33" i="74"/>
  <c r="J63" i="74"/>
  <c r="J33" i="74"/>
  <c r="H34" i="74"/>
  <c r="F121" i="74"/>
  <c r="J34" i="74"/>
  <c r="E119" i="74"/>
  <c r="D93" i="74"/>
  <c r="H62" i="74"/>
  <c r="K32" i="74"/>
  <c r="C64" i="74"/>
  <c r="D92" i="74"/>
  <c r="E63" i="74"/>
  <c r="B63" i="74"/>
  <c r="F92" i="74"/>
  <c r="H33" i="74"/>
  <c r="B33" i="74"/>
  <c r="G63" i="74"/>
  <c r="K92" i="74"/>
  <c r="P175" i="75"/>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J222" i="72" s="1"/>
  <c r="J1776" i="93" s="1"/>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I91" i="74"/>
  <c r="E62" i="74"/>
  <c r="F13" i="74"/>
  <c r="F20" i="74" s="1"/>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E38" i="78"/>
  <c r="G34" i="78" s="1"/>
  <c r="F34" i="78"/>
  <c r="R15" i="75" l="1"/>
  <c r="R772" i="93" s="1"/>
  <c r="R16" i="75"/>
  <c r="R773" i="93" s="1"/>
  <c r="R19" i="75"/>
  <c r="R776" i="93" s="1"/>
  <c r="R18" i="75"/>
  <c r="R775" i="93" s="1"/>
  <c r="R17" i="75"/>
  <c r="R774" i="93" s="1"/>
  <c r="R13" i="75"/>
  <c r="R770" i="93" s="1"/>
  <c r="R10" i="75"/>
  <c r="R767" i="93" s="1"/>
  <c r="R11" i="75"/>
  <c r="R768" i="93" s="1"/>
  <c r="R12" i="75"/>
  <c r="R769" i="93" s="1"/>
  <c r="R14" i="75"/>
  <c r="R771" i="93" s="1"/>
  <c r="Q58" i="73"/>
  <c r="G1158" i="93"/>
  <c r="G1160" i="93"/>
  <c r="I1160" i="93" s="1"/>
  <c r="K1050" i="93"/>
  <c r="H73" i="93"/>
  <c r="G1152" i="93"/>
  <c r="I1152" i="93" s="1"/>
  <c r="G1144" i="93"/>
  <c r="G1150" i="93"/>
  <c r="I1150" i="93" s="1"/>
  <c r="G1143" i="93"/>
  <c r="I1143" i="93" s="1"/>
  <c r="G1146" i="93"/>
  <c r="G1135" i="93"/>
  <c r="I1135" i="93" s="1"/>
  <c r="I1140" i="93" s="1"/>
  <c r="G1145" i="93"/>
  <c r="I1145" i="93" s="1"/>
  <c r="G1153" i="93"/>
  <c r="I1153" i="93" s="1"/>
  <c r="G1142" i="93"/>
  <c r="I1142" i="93" s="1"/>
  <c r="I1147" i="93" s="1"/>
  <c r="G1156" i="93"/>
  <c r="I1156" i="93" s="1"/>
  <c r="I1161" i="93" s="1"/>
  <c r="I1046" i="93"/>
  <c r="F1074" i="93"/>
  <c r="L48" i="75"/>
  <c r="L49" i="75" s="1"/>
  <c r="B970" i="93" s="1"/>
  <c r="L805" i="93"/>
  <c r="L806" i="93" s="1"/>
  <c r="I73" i="93"/>
  <c r="K1046" i="93"/>
  <c r="D10" i="86"/>
  <c r="D993" i="93"/>
  <c r="C993" i="93"/>
  <c r="E10" i="86"/>
  <c r="E37" i="74"/>
  <c r="G1139" i="93"/>
  <c r="I1139" i="93" s="1"/>
  <c r="G1159" i="93"/>
  <c r="G1151" i="93"/>
  <c r="I1151" i="93" s="1"/>
  <c r="G1136" i="93"/>
  <c r="I1136" i="93" s="1"/>
  <c r="G1137" i="93"/>
  <c r="I1137" i="93" s="1"/>
  <c r="G1157" i="93"/>
  <c r="I1157" i="93" s="1"/>
  <c r="G1138" i="93"/>
  <c r="I1138" i="93" s="1"/>
  <c r="G1149" i="93"/>
  <c r="I1149" i="93" s="1"/>
  <c r="I1154" i="93" s="1"/>
  <c r="E53" i="82"/>
  <c r="E984" i="93"/>
  <c r="E986" i="93" s="1"/>
  <c r="N1160" i="93"/>
  <c r="M1160" i="93"/>
  <c r="M1143" i="93"/>
  <c r="N1143" i="93"/>
  <c r="N1159" i="93"/>
  <c r="M1159" i="93"/>
  <c r="H987" i="93"/>
  <c r="H991" i="93"/>
  <c r="G1017" i="93"/>
  <c r="G1021" i="93"/>
  <c r="E1050" i="93"/>
  <c r="E1046" i="93"/>
  <c r="D1074" i="93"/>
  <c r="G35" i="86"/>
  <c r="F15" i="86"/>
  <c r="E35" i="86"/>
  <c r="G15" i="86"/>
  <c r="F55" i="86"/>
  <c r="O17" i="86"/>
  <c r="H55" i="86"/>
  <c r="O16" i="86"/>
  <c r="I15" i="86"/>
  <c r="C15" i="86"/>
  <c r="F35" i="86"/>
  <c r="H35" i="86"/>
  <c r="E55" i="86"/>
  <c r="I35" i="86"/>
  <c r="D55" i="86"/>
  <c r="E15" i="86"/>
  <c r="H15" i="86"/>
  <c r="D35" i="86"/>
  <c r="C35" i="86"/>
  <c r="D15" i="86"/>
  <c r="G55" i="86"/>
  <c r="C55" i="86"/>
  <c r="D18" i="84"/>
  <c r="K40" i="84"/>
  <c r="C38" i="84"/>
  <c r="M1145" i="93"/>
  <c r="N1145" i="93"/>
  <c r="N1158" i="93"/>
  <c r="M1158" i="93"/>
  <c r="M1142" i="93"/>
  <c r="K1147" i="93"/>
  <c r="N1142" i="93"/>
  <c r="N1147" i="93" s="1"/>
  <c r="M1152" i="93"/>
  <c r="N1152" i="93"/>
  <c r="K987" i="93"/>
  <c r="D1078" i="93"/>
  <c r="E1074" i="93"/>
  <c r="E1078" i="93"/>
  <c r="B1017" i="93"/>
  <c r="B1021" i="93"/>
  <c r="F1017" i="93"/>
  <c r="F1021" i="93"/>
  <c r="H1156" i="93"/>
  <c r="F1161" i="93"/>
  <c r="K991" i="93"/>
  <c r="H1050" i="93"/>
  <c r="H1046" i="93"/>
  <c r="G991" i="93"/>
  <c r="G987" i="93"/>
  <c r="P414" i="93"/>
  <c r="P413" i="93"/>
  <c r="I423" i="93"/>
  <c r="E75" i="84"/>
  <c r="E77" i="84" s="1"/>
  <c r="K75" i="84"/>
  <c r="K77" i="84" s="1"/>
  <c r="G75" i="84"/>
  <c r="G77" i="84" s="1"/>
  <c r="C77" i="84"/>
  <c r="I75" i="84"/>
  <c r="I77" i="84" s="1"/>
  <c r="H1836" i="93"/>
  <c r="H76" i="93"/>
  <c r="I44" i="68"/>
  <c r="I407" i="93" s="1"/>
  <c r="F1147" i="93"/>
  <c r="H1142" i="93"/>
  <c r="J1017" i="93"/>
  <c r="J1021" i="93"/>
  <c r="H1017" i="93"/>
  <c r="H1021" i="93"/>
  <c r="E1017" i="93"/>
  <c r="E1021" i="93"/>
  <c r="M1938" i="93"/>
  <c r="M1939" i="93" s="1"/>
  <c r="J1938" i="93"/>
  <c r="J1939" i="93" s="1"/>
  <c r="F121" i="78"/>
  <c r="B975" i="93"/>
  <c r="F557" i="93"/>
  <c r="F558" i="93"/>
  <c r="C991" i="93"/>
  <c r="C987" i="93"/>
  <c r="C986" i="93"/>
  <c r="M1151" i="93"/>
  <c r="N1151" i="93"/>
  <c r="C41" i="74"/>
  <c r="B997" i="93"/>
  <c r="I1158" i="93"/>
  <c r="I1146" i="93"/>
  <c r="F987" i="93"/>
  <c r="F991" i="93"/>
  <c r="D1017" i="93"/>
  <c r="D1021" i="93"/>
  <c r="I987" i="93"/>
  <c r="I991" i="93"/>
  <c r="C1017" i="93"/>
  <c r="C1021" i="93"/>
  <c r="C1078" i="93"/>
  <c r="M1136" i="93"/>
  <c r="N1136" i="93"/>
  <c r="J987" i="93"/>
  <c r="J991" i="93"/>
  <c r="D1046" i="93"/>
  <c r="D1050" i="93"/>
  <c r="K1161" i="93"/>
  <c r="M1156" i="93"/>
  <c r="N1156" i="93"/>
  <c r="N1161" i="93" s="1"/>
  <c r="M1135" i="93"/>
  <c r="N1135" i="93"/>
  <c r="N1140" i="93" s="1"/>
  <c r="K1140" i="93"/>
  <c r="H78" i="93"/>
  <c r="F56" i="89"/>
  <c r="D37" i="90" s="1"/>
  <c r="I1144" i="93"/>
  <c r="C1050" i="93"/>
  <c r="C1046" i="93"/>
  <c r="E7" i="88"/>
  <c r="M1144" i="93"/>
  <c r="N1144" i="93"/>
  <c r="M1137" i="93"/>
  <c r="N1137" i="93"/>
  <c r="N1157" i="93"/>
  <c r="M1157" i="93"/>
  <c r="M1146" i="93"/>
  <c r="N1146" i="93"/>
  <c r="T1731" i="93"/>
  <c r="P934" i="93"/>
  <c r="M932" i="93" s="1"/>
  <c r="N1153" i="93"/>
  <c r="M1153" i="93"/>
  <c r="I1159" i="93"/>
  <c r="B1074" i="93"/>
  <c r="B1078" i="93"/>
  <c r="N1138" i="93"/>
  <c r="M1138" i="93"/>
  <c r="F1154" i="93"/>
  <c r="H1149" i="93"/>
  <c r="M1150" i="93"/>
  <c r="N1150" i="93"/>
  <c r="L1954" i="93"/>
  <c r="D8" i="88"/>
  <c r="E8" i="88" s="1"/>
  <c r="M1139" i="93"/>
  <c r="N1139" i="93"/>
  <c r="J1050" i="93"/>
  <c r="F1046" i="93"/>
  <c r="F1050" i="93"/>
  <c r="J18" i="84"/>
  <c r="C40" i="84"/>
  <c r="F1140" i="93"/>
  <c r="H1135" i="93"/>
  <c r="M1149" i="93"/>
  <c r="N1149" i="93"/>
  <c r="N1154" i="93" s="1"/>
  <c r="K1154" i="93"/>
  <c r="K1021" i="93"/>
  <c r="K1017" i="93"/>
  <c r="D987" i="93"/>
  <c r="D991" i="93"/>
  <c r="D53" i="82"/>
  <c r="D984" i="93"/>
  <c r="D986" i="93" s="1"/>
  <c r="B1046" i="93"/>
  <c r="B1050" i="93"/>
  <c r="I1017" i="93"/>
  <c r="I1021" i="93"/>
  <c r="E987" i="93"/>
  <c r="E991" i="93"/>
  <c r="G1050" i="93"/>
  <c r="H15" i="84"/>
  <c r="F18" i="85" s="1"/>
  <c r="K51" i="93"/>
  <c r="J384" i="72"/>
  <c r="J385" i="72" s="1"/>
  <c r="F28" i="74"/>
  <c r="F122" i="78"/>
  <c r="B19"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G13" i="74"/>
  <c r="G20" i="74" s="1"/>
  <c r="O74" i="75"/>
  <c r="H66" i="93" s="1"/>
  <c r="O106" i="75"/>
  <c r="O105" i="75"/>
  <c r="J117" i="75"/>
  <c r="O115" i="75"/>
  <c r="P73" i="93" s="1"/>
  <c r="P75" i="93" s="1"/>
  <c r="P77" i="93" s="1"/>
  <c r="P82" i="93" s="1"/>
  <c r="J60" i="75"/>
  <c r="O58" i="75"/>
  <c r="O86" i="75"/>
  <c r="E536" i="93" s="1"/>
  <c r="J536" i="93" s="1"/>
  <c r="O77" i="75"/>
  <c r="H68" i="93" s="1"/>
  <c r="H77" i="93" l="1"/>
  <c r="O19" i="86"/>
  <c r="O23" i="86" s="1"/>
  <c r="O25" i="86" s="1"/>
  <c r="O31" i="86" s="1"/>
  <c r="C19" i="74"/>
  <c r="H122" i="75"/>
  <c r="H879" i="93" s="1"/>
  <c r="O879" i="93" s="1"/>
  <c r="B14" i="74"/>
  <c r="E14" i="74" s="1"/>
  <c r="E13" i="88"/>
  <c r="D12" i="88"/>
  <c r="P415" i="93"/>
  <c r="E993" i="93"/>
  <c r="F37" i="74"/>
  <c r="F10" i="86"/>
  <c r="L1952" i="93"/>
  <c r="L1953" i="93" s="1"/>
  <c r="M1952" i="93" s="1"/>
  <c r="E13" i="84"/>
  <c r="C81" i="84"/>
  <c r="C80" i="84"/>
  <c r="F53" i="82"/>
  <c r="F984" i="93"/>
  <c r="F986" i="93" s="1"/>
  <c r="K1163" i="93"/>
  <c r="D41" i="74"/>
  <c r="C997" i="93"/>
  <c r="L1968" i="93"/>
  <c r="P67" i="93"/>
  <c r="F1163" i="93"/>
  <c r="H79" i="93"/>
  <c r="I59" i="73"/>
  <c r="E100" i="78"/>
  <c r="G28" i="74"/>
  <c r="F19" i="74"/>
  <c r="D19" i="74"/>
  <c r="E19"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H13" i="74"/>
  <c r="H20" i="74" s="1"/>
  <c r="G19" i="74"/>
  <c r="J119" i="75"/>
  <c r="O117" i="75"/>
  <c r="F480" i="93" s="1"/>
  <c r="J62" i="75"/>
  <c r="H7" i="88" s="1"/>
  <c r="O60" i="75"/>
  <c r="B971" i="93" l="1"/>
  <c r="D14" i="74"/>
  <c r="F14" i="74"/>
  <c r="O122" i="75"/>
  <c r="B15" i="74"/>
  <c r="G15" i="74" s="1"/>
  <c r="C14" i="74"/>
  <c r="G14" i="74"/>
  <c r="C52" i="84"/>
  <c r="K52" i="84" s="1"/>
  <c r="F993" i="93"/>
  <c r="G37" i="74"/>
  <c r="G10" i="86"/>
  <c r="J1599" i="93"/>
  <c r="P168" i="93"/>
  <c r="O168" i="93"/>
  <c r="F479" i="93"/>
  <c r="P167" i="93"/>
  <c r="G53" i="82"/>
  <c r="G984" i="93"/>
  <c r="G986" i="93" s="1"/>
  <c r="G570" i="93"/>
  <c r="P479" i="93"/>
  <c r="E41" i="74"/>
  <c r="D997" i="93"/>
  <c r="K18" i="88"/>
  <c r="H16" i="85"/>
  <c r="I7" i="88"/>
  <c r="I13" i="88" s="1"/>
  <c r="H12" i="88"/>
  <c r="D34" i="90" s="1"/>
  <c r="P590" i="93"/>
  <c r="P591" i="93" s="1"/>
  <c r="P593" i="93" s="1"/>
  <c r="M590" i="93"/>
  <c r="M591" i="93" s="1"/>
  <c r="M593" i="93" s="1"/>
  <c r="B977" i="93"/>
  <c r="P936" i="93"/>
  <c r="J590" i="93"/>
  <c r="J591" i="93" s="1"/>
  <c r="J593" i="93" s="1"/>
  <c r="H7" i="84"/>
  <c r="P43" i="78"/>
  <c r="K13" i="84"/>
  <c r="E172" i="90"/>
  <c r="E173" i="90" s="1"/>
  <c r="C66" i="84"/>
  <c r="H28" i="74"/>
  <c r="N46" i="73"/>
  <c r="I67" i="73"/>
  <c r="I53" i="73"/>
  <c r="I46" i="73"/>
  <c r="N60" i="73"/>
  <c r="G134" i="78"/>
  <c r="N53" i="73"/>
  <c r="O119" i="75"/>
  <c r="J480" i="93" s="1"/>
  <c r="K69" i="73"/>
  <c r="O62" i="75"/>
  <c r="F44" i="78"/>
  <c r="I60" i="73"/>
  <c r="N67" i="73"/>
  <c r="B21" i="74"/>
  <c r="P190" i="75"/>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H14" i="74"/>
  <c r="I13" i="74"/>
  <c r="I20" i="74" s="1"/>
  <c r="H19" i="74"/>
  <c r="B972" i="93" l="1"/>
  <c r="B992" i="93" s="1"/>
  <c r="B16" i="74"/>
  <c r="D15" i="74"/>
  <c r="D16" i="74" s="1"/>
  <c r="C15" i="74"/>
  <c r="C16" i="74" s="1"/>
  <c r="H15" i="74"/>
  <c r="H16" i="74" s="1"/>
  <c r="E15" i="74"/>
  <c r="G16" i="74"/>
  <c r="F15" i="74"/>
  <c r="C53" i="84"/>
  <c r="I52" i="84"/>
  <c r="E52" i="84"/>
  <c r="G52" i="84"/>
  <c r="G993" i="93"/>
  <c r="H37" i="74"/>
  <c r="H10" i="86"/>
  <c r="H53" i="82"/>
  <c r="H984" i="93"/>
  <c r="H986" i="93" s="1"/>
  <c r="F54" i="89"/>
  <c r="D33" i="90" s="1"/>
  <c r="D55" i="92" s="1"/>
  <c r="J594" i="93"/>
  <c r="F41" i="74"/>
  <c r="E997" i="93"/>
  <c r="P937" i="93"/>
  <c r="M937" i="93"/>
  <c r="P947" i="93"/>
  <c r="J157" i="78"/>
  <c r="J158" i="78" s="1"/>
  <c r="G15" i="82"/>
  <c r="G19" i="82" s="1"/>
  <c r="E47" i="78"/>
  <c r="N94" i="93"/>
  <c r="L1951" i="93"/>
  <c r="M1962" i="93"/>
  <c r="J1836" i="93"/>
  <c r="L1836" i="93" s="1"/>
  <c r="O1980" i="93"/>
  <c r="O1981" i="93" s="1"/>
  <c r="O1975" i="93"/>
  <c r="O1976" i="93" s="1"/>
  <c r="D570" i="93"/>
  <c r="F560" i="93"/>
  <c r="E483" i="93"/>
  <c r="E514" i="93"/>
  <c r="N97" i="93"/>
  <c r="J479" i="93"/>
  <c r="C13" i="84"/>
  <c r="P52" i="72"/>
  <c r="L1606" i="93"/>
  <c r="O52" i="72"/>
  <c r="K1606" i="93"/>
  <c r="H20" i="84"/>
  <c r="C20" i="84"/>
  <c r="E47" i="92"/>
  <c r="E26" i="89"/>
  <c r="C21" i="74"/>
  <c r="D13" i="86" s="1"/>
  <c r="C13" i="86"/>
  <c r="E66" i="84"/>
  <c r="K66" i="84"/>
  <c r="I66" i="84"/>
  <c r="G66" i="84"/>
  <c r="E78" i="78"/>
  <c r="O421" i="72"/>
  <c r="O422" i="72" s="1"/>
  <c r="I28" i="74"/>
  <c r="N83" i="66"/>
  <c r="O426" i="72"/>
  <c r="O427" i="72" s="1"/>
  <c r="J100" i="78"/>
  <c r="J180" i="75"/>
  <c r="N172" i="75"/>
  <c r="J43" i="78"/>
  <c r="D134" i="78"/>
  <c r="L397" i="72"/>
  <c r="J181" i="75"/>
  <c r="M301" i="73"/>
  <c r="N86" i="66"/>
  <c r="F124" i="78"/>
  <c r="H69" i="73"/>
  <c r="H1163" i="93" s="1"/>
  <c r="O176" i="75"/>
  <c r="J182" i="75"/>
  <c r="M305" i="73"/>
  <c r="J282" i="72"/>
  <c r="L282" i="72" s="1"/>
  <c r="M408" i="72"/>
  <c r="P405" i="72" s="1"/>
  <c r="P1959" i="93" s="1"/>
  <c r="M69" i="73"/>
  <c r="M1163" i="93" s="1"/>
  <c r="J44" i="78"/>
  <c r="P155" i="72"/>
  <c r="P1709" i="93" s="1"/>
  <c r="O155" i="72"/>
  <c r="O1709" i="93" s="1"/>
  <c r="N171" i="75"/>
  <c r="P177" i="75"/>
  <c r="M175" i="75" s="1"/>
  <c r="F21" i="74"/>
  <c r="O48" i="72"/>
  <c r="O1602" i="93" s="1"/>
  <c r="P49" i="72"/>
  <c r="P1603" i="93" s="1"/>
  <c r="O49" i="72"/>
  <c r="O1603" i="93" s="1"/>
  <c r="P48" i="72"/>
  <c r="P1602" i="93" s="1"/>
  <c r="E21" i="74"/>
  <c r="H21" i="74"/>
  <c r="I13" i="86" s="1"/>
  <c r="G21" i="74"/>
  <c r="D21" i="74"/>
  <c r="I19" i="74"/>
  <c r="I14" i="74"/>
  <c r="J13" i="74"/>
  <c r="J20" i="74" s="1"/>
  <c r="I15" i="74"/>
  <c r="I21" i="74"/>
  <c r="C33" i="86" s="1"/>
  <c r="H36" i="74" l="1"/>
  <c r="B978" i="93"/>
  <c r="B991" i="93" s="1"/>
  <c r="D36" i="74"/>
  <c r="G36" i="74"/>
  <c r="K5" i="74"/>
  <c r="B36" i="74"/>
  <c r="F16" i="74"/>
  <c r="F36" i="74" s="1"/>
  <c r="B22" i="74"/>
  <c r="B30" i="74" s="1"/>
  <c r="C9" i="86" s="1"/>
  <c r="C17" i="86" s="1"/>
  <c r="C18" i="86" s="1"/>
  <c r="C20" i="86" s="1"/>
  <c r="C24" i="86" s="1"/>
  <c r="K6" i="86" s="1"/>
  <c r="G66" i="86" s="1"/>
  <c r="N85" i="85" s="1"/>
  <c r="E16" i="74"/>
  <c r="E22" i="74" s="1"/>
  <c r="C36" i="74"/>
  <c r="K7" i="74"/>
  <c r="J4" i="91"/>
  <c r="C54" i="84"/>
  <c r="C56" i="84" s="1"/>
  <c r="C64" i="84" s="1"/>
  <c r="C70" i="84" s="1"/>
  <c r="C76" i="84" s="1"/>
  <c r="C73" i="84" s="1"/>
  <c r="D35" i="90"/>
  <c r="I64" i="92" s="1"/>
  <c r="E53" i="84"/>
  <c r="E54" i="84" s="1"/>
  <c r="E56" i="84" s="1"/>
  <c r="E64" i="84" s="1"/>
  <c r="E70" i="84" s="1"/>
  <c r="E72" i="84" s="1"/>
  <c r="I53" i="84"/>
  <c r="G53" i="84"/>
  <c r="G54" i="84" s="1"/>
  <c r="K53" i="84"/>
  <c r="C22" i="74"/>
  <c r="C35" i="74" s="1"/>
  <c r="H993" i="93"/>
  <c r="I37" i="74"/>
  <c r="I10" i="86"/>
  <c r="G41" i="74"/>
  <c r="F997" i="93"/>
  <c r="L301" i="73"/>
  <c r="M1395" i="93"/>
  <c r="L1395" i="93" s="1"/>
  <c r="F52" i="89"/>
  <c r="K19" i="88"/>
  <c r="F16" i="85"/>
  <c r="D16" i="83"/>
  <c r="C19" i="84"/>
  <c r="H19" i="84"/>
  <c r="L305" i="73"/>
  <c r="M1399" i="93"/>
  <c r="L1399" i="93" s="1"/>
  <c r="I53" i="82"/>
  <c r="I984" i="93"/>
  <c r="I986" i="93" s="1"/>
  <c r="O51" i="72"/>
  <c r="O1605" i="93" s="1"/>
  <c r="O1606" i="93"/>
  <c r="P51" i="72"/>
  <c r="P1605" i="93" s="1"/>
  <c r="P1606" i="93"/>
  <c r="F13" i="86"/>
  <c r="D22" i="74"/>
  <c r="D44" i="82" s="1"/>
  <c r="E13" i="86"/>
  <c r="G22" i="74"/>
  <c r="G30" i="74" s="1"/>
  <c r="H9" i="86" s="1"/>
  <c r="H13" i="86"/>
  <c r="F22" i="74"/>
  <c r="G13" i="86"/>
  <c r="P63" i="73"/>
  <c r="J28" i="74"/>
  <c r="O405" i="72"/>
  <c r="O1959" i="93" s="1"/>
  <c r="O282" i="72"/>
  <c r="O1836" i="93" s="1"/>
  <c r="P282" i="72"/>
  <c r="O153" i="72"/>
  <c r="P153" i="72"/>
  <c r="P1707" i="93" s="1"/>
  <c r="H22" i="74"/>
  <c r="P47" i="72"/>
  <c r="P1601" i="93" s="1"/>
  <c r="P396" i="72"/>
  <c r="P1950" i="93" s="1"/>
  <c r="O47" i="72"/>
  <c r="O1601" i="93" s="1"/>
  <c r="K13" i="74"/>
  <c r="K20" i="74" s="1"/>
  <c r="J19" i="74"/>
  <c r="J14" i="74"/>
  <c r="J15" i="74"/>
  <c r="J21" i="74"/>
  <c r="D33" i="86" s="1"/>
  <c r="I16" i="74"/>
  <c r="I22" i="74" s="1"/>
  <c r="B987" i="93" l="1"/>
  <c r="B986" i="93"/>
  <c r="I36" i="74"/>
  <c r="B31" i="74"/>
  <c r="B35" i="74"/>
  <c r="E36" i="74"/>
  <c r="B44" i="82"/>
  <c r="B51" i="82" s="1"/>
  <c r="C72" i="84"/>
  <c r="G56" i="84"/>
  <c r="G64" i="84" s="1"/>
  <c r="G70" i="84" s="1"/>
  <c r="G76" i="84" s="1"/>
  <c r="G73" i="84" s="1"/>
  <c r="K54" i="84"/>
  <c r="K56" i="84" s="1"/>
  <c r="K64" i="84" s="1"/>
  <c r="K70" i="84" s="1"/>
  <c r="I54" i="84"/>
  <c r="I56" i="84" s="1"/>
  <c r="I64" i="84" s="1"/>
  <c r="I70" i="84" s="1"/>
  <c r="I76" i="84" s="1"/>
  <c r="I73" i="84" s="1"/>
  <c r="C30" i="74"/>
  <c r="D9" i="86" s="1"/>
  <c r="D17" i="86" s="1"/>
  <c r="D18" i="86" s="1"/>
  <c r="D20" i="86" s="1"/>
  <c r="D24" i="86" s="1"/>
  <c r="K7" i="86" s="1"/>
  <c r="C44" i="82"/>
  <c r="C51" i="82" s="1"/>
  <c r="E76" i="84"/>
  <c r="E73" i="84" s="1"/>
  <c r="C31" i="74"/>
  <c r="F44" i="82"/>
  <c r="F51" i="82" s="1"/>
  <c r="F35" i="74"/>
  <c r="F31" i="74"/>
  <c r="I35" i="74"/>
  <c r="I31" i="74"/>
  <c r="G44" i="82"/>
  <c r="G46" i="82" s="1"/>
  <c r="G35" i="74"/>
  <c r="G31" i="74"/>
  <c r="E44" i="82"/>
  <c r="E46" i="82" s="1"/>
  <c r="E35" i="74"/>
  <c r="E31" i="74"/>
  <c r="D31" i="74"/>
  <c r="D35" i="74"/>
  <c r="D30" i="74"/>
  <c r="E9" i="86" s="1"/>
  <c r="E17" i="86" s="1"/>
  <c r="E18" i="86" s="1"/>
  <c r="E20" i="86" s="1"/>
  <c r="E24" i="86" s="1"/>
  <c r="K8" i="86" s="1"/>
  <c r="H44" i="82"/>
  <c r="H46" i="82" s="1"/>
  <c r="H35" i="74"/>
  <c r="H31" i="74"/>
  <c r="E30" i="74"/>
  <c r="F9" i="86" s="1"/>
  <c r="F17" i="86" s="1"/>
  <c r="F18" i="86" s="1"/>
  <c r="F20" i="86" s="1"/>
  <c r="F24" i="86" s="1"/>
  <c r="K9" i="86" s="1"/>
  <c r="I993" i="93"/>
  <c r="J37" i="74"/>
  <c r="C30" i="86"/>
  <c r="F30" i="74"/>
  <c r="G9" i="86" s="1"/>
  <c r="G17" i="86" s="1"/>
  <c r="G18" i="86" s="1"/>
  <c r="G20" i="86" s="1"/>
  <c r="G24" i="86" s="1"/>
  <c r="K10" i="86" s="1"/>
  <c r="J53" i="82"/>
  <c r="J984" i="93"/>
  <c r="J986" i="93" s="1"/>
  <c r="I39" i="88"/>
  <c r="K38" i="88" s="1"/>
  <c r="K21" i="88"/>
  <c r="K30" i="88" s="1"/>
  <c r="K34" i="88" s="1"/>
  <c r="H41" i="74"/>
  <c r="G997" i="93"/>
  <c r="E32" i="72"/>
  <c r="E1586" i="93" s="1"/>
  <c r="O1707" i="93"/>
  <c r="P270" i="72"/>
  <c r="P1824" i="93" s="1"/>
  <c r="P1836" i="93"/>
  <c r="K13" i="88"/>
  <c r="P1157" i="93"/>
  <c r="J598" i="93"/>
  <c r="H17" i="86"/>
  <c r="H18" i="86" s="1"/>
  <c r="H20" i="86" s="1"/>
  <c r="H24" i="86" s="1"/>
  <c r="K11" i="86" s="1"/>
  <c r="S19" i="74"/>
  <c r="D51" i="82"/>
  <c r="D46" i="82"/>
  <c r="I30" i="74"/>
  <c r="C29" i="86" s="1"/>
  <c r="I44" i="82"/>
  <c r="O396" i="72"/>
  <c r="J162" i="78"/>
  <c r="J163" i="78" s="1"/>
  <c r="J599" i="93" s="1"/>
  <c r="K28" i="74"/>
  <c r="K984" i="93" s="1"/>
  <c r="K986" i="93" s="1"/>
  <c r="H30" i="74"/>
  <c r="I9" i="86" s="1"/>
  <c r="I17" i="86" s="1"/>
  <c r="I18" i="86" s="1"/>
  <c r="I20" i="86" s="1"/>
  <c r="I24" i="86" s="1"/>
  <c r="K12" i="86" s="1"/>
  <c r="O270" i="72"/>
  <c r="O1824" i="93" s="1"/>
  <c r="J16" i="74"/>
  <c r="J22" i="74" s="1"/>
  <c r="K14" i="74"/>
  <c r="K19" i="74"/>
  <c r="B43" i="74"/>
  <c r="B50" i="74" s="1"/>
  <c r="K15" i="74"/>
  <c r="K21" i="74"/>
  <c r="E33" i="86" s="1"/>
  <c r="B46" i="82" l="1"/>
  <c r="J36" i="74"/>
  <c r="C37" i="86"/>
  <c r="C38" i="86" s="1"/>
  <c r="C40" i="86" s="1"/>
  <c r="C44" i="86" s="1"/>
  <c r="K13" i="86" s="1"/>
  <c r="G72" i="84"/>
  <c r="K76" i="84"/>
  <c r="K73" i="84" s="1"/>
  <c r="K72" i="84"/>
  <c r="S20" i="74"/>
  <c r="I72" i="84"/>
  <c r="C46" i="82"/>
  <c r="E51" i="82"/>
  <c r="H51" i="82"/>
  <c r="S21" i="74"/>
  <c r="S22" i="74"/>
  <c r="S24" i="74"/>
  <c r="F46" i="82"/>
  <c r="G51" i="82"/>
  <c r="J44" i="82"/>
  <c r="J51" i="82" s="1"/>
  <c r="J31" i="74"/>
  <c r="J35" i="74"/>
  <c r="S23" i="74"/>
  <c r="J993" i="93"/>
  <c r="K37" i="74"/>
  <c r="D30" i="86"/>
  <c r="I41" i="74"/>
  <c r="H997" i="93"/>
  <c r="E40" i="72"/>
  <c r="E1594" i="93" s="1"/>
  <c r="O1950" i="93"/>
  <c r="G598" i="93"/>
  <c r="J601" i="93"/>
  <c r="J603" i="93" s="1"/>
  <c r="J605" i="93" s="1"/>
  <c r="J607" i="93" s="1"/>
  <c r="I51" i="82"/>
  <c r="I46" i="82"/>
  <c r="K53" i="82"/>
  <c r="S25" i="74"/>
  <c r="S26" i="74"/>
  <c r="G162" i="78"/>
  <c r="J165" i="78"/>
  <c r="J167" i="78" s="1"/>
  <c r="B58" i="74"/>
  <c r="J30" i="74"/>
  <c r="D29" i="86" s="1"/>
  <c r="K16" i="74"/>
  <c r="K22" i="74" s="1"/>
  <c r="C43" i="74"/>
  <c r="C50" i="74" s="1"/>
  <c r="B49" i="74"/>
  <c r="B51" i="74"/>
  <c r="F33" i="86" s="1"/>
  <c r="B45" i="74"/>
  <c r="B44" i="74"/>
  <c r="K36" i="74" l="1"/>
  <c r="D37" i="86"/>
  <c r="D38" i="86" s="1"/>
  <c r="D40" i="86" s="1"/>
  <c r="D44" i="86" s="1"/>
  <c r="K14" i="86" s="1"/>
  <c r="J611" i="93"/>
  <c r="E535" i="93" s="1"/>
  <c r="J535" i="93" s="1"/>
  <c r="M609" i="93"/>
  <c r="B15" i="82"/>
  <c r="J169" i="78"/>
  <c r="J171" i="78" s="1"/>
  <c r="J46" i="82"/>
  <c r="K44" i="82"/>
  <c r="K51" i="82" s="1"/>
  <c r="K35" i="74"/>
  <c r="K31" i="74"/>
  <c r="K993" i="93"/>
  <c r="B67" i="74"/>
  <c r="F30" i="86" s="1"/>
  <c r="E30" i="86"/>
  <c r="B73" i="82"/>
  <c r="B1014" i="93"/>
  <c r="B1016" i="93" s="1"/>
  <c r="J41" i="74"/>
  <c r="I997" i="93"/>
  <c r="S27" i="74"/>
  <c r="C58" i="74"/>
  <c r="K30" i="74"/>
  <c r="E29" i="86" s="1"/>
  <c r="O43" i="72"/>
  <c r="O1597" i="93" s="1"/>
  <c r="R1597" i="93" s="1"/>
  <c r="D43" i="74"/>
  <c r="D50" i="74" s="1"/>
  <c r="C44" i="74"/>
  <c r="C49" i="74"/>
  <c r="C45" i="74"/>
  <c r="C51" i="74"/>
  <c r="G33" i="86" s="1"/>
  <c r="B46" i="74"/>
  <c r="B52" i="74" s="1"/>
  <c r="B66" i="74" l="1"/>
  <c r="J175" i="78"/>
  <c r="M173" i="78"/>
  <c r="B61" i="74"/>
  <c r="B65" i="74"/>
  <c r="K46" i="82"/>
  <c r="E37" i="86"/>
  <c r="E38" i="86" s="1"/>
  <c r="E40" i="86" s="1"/>
  <c r="E44" i="86" s="1"/>
  <c r="K15" i="86" s="1"/>
  <c r="B1023" i="93"/>
  <c r="C67" i="74"/>
  <c r="C73" i="82"/>
  <c r="C1014" i="93"/>
  <c r="C1016" i="93" s="1"/>
  <c r="K41" i="74"/>
  <c r="J997" i="93"/>
  <c r="B60" i="74"/>
  <c r="F29" i="86" s="1"/>
  <c r="F37" i="86" s="1"/>
  <c r="F38" i="86" s="1"/>
  <c r="F40" i="86" s="1"/>
  <c r="F44" i="86" s="1"/>
  <c r="K16" i="86" s="1"/>
  <c r="B64" i="82"/>
  <c r="S28" i="74"/>
  <c r="D58" i="74"/>
  <c r="P43" i="72"/>
  <c r="R43" i="72"/>
  <c r="C46" i="74"/>
  <c r="C52" i="74" s="1"/>
  <c r="D44" i="74"/>
  <c r="E43" i="74"/>
  <c r="E50" i="74" s="1"/>
  <c r="D51" i="74"/>
  <c r="H33" i="86" s="1"/>
  <c r="D49" i="74"/>
  <c r="D45" i="74"/>
  <c r="C66" i="74" l="1"/>
  <c r="L49" i="68"/>
  <c r="I9" i="66"/>
  <c r="L413" i="93"/>
  <c r="N413" i="93" s="1"/>
  <c r="C21" i="86"/>
  <c r="L50" i="68"/>
  <c r="N50" i="68" s="1"/>
  <c r="L412" i="93"/>
  <c r="N412" i="93" s="1"/>
  <c r="I20" i="93"/>
  <c r="M61" i="85"/>
  <c r="P61" i="85" s="1"/>
  <c r="E99" i="78"/>
  <c r="J99" i="78" s="1"/>
  <c r="C64" i="82"/>
  <c r="C71" i="82" s="1"/>
  <c r="C61" i="74"/>
  <c r="C65" i="74"/>
  <c r="C1023" i="93"/>
  <c r="D67" i="74"/>
  <c r="S29" i="74"/>
  <c r="G30" i="86"/>
  <c r="B71" i="74"/>
  <c r="K997" i="93"/>
  <c r="D73" i="82"/>
  <c r="D1014" i="93"/>
  <c r="D1016" i="93" s="1"/>
  <c r="P441" i="72"/>
  <c r="P444" i="72" s="1"/>
  <c r="P1597" i="93"/>
  <c r="P1995" i="93" s="1"/>
  <c r="B71" i="82"/>
  <c r="B66" i="82"/>
  <c r="C60" i="74"/>
  <c r="G29" i="86" s="1"/>
  <c r="E58" i="74"/>
  <c r="D46" i="74"/>
  <c r="D52" i="74" s="1"/>
  <c r="E44" i="74"/>
  <c r="F43" i="74"/>
  <c r="F50" i="74" s="1"/>
  <c r="E49" i="74"/>
  <c r="E45" i="74"/>
  <c r="E51" i="74"/>
  <c r="I33" i="86" s="1"/>
  <c r="D66" i="74" l="1"/>
  <c r="G37" i="86"/>
  <c r="G38" i="86" s="1"/>
  <c r="G40" i="86" s="1"/>
  <c r="G44" i="86" s="1"/>
  <c r="K17" i="86" s="1"/>
  <c r="C66" i="82"/>
  <c r="C22" i="86"/>
  <c r="C42" i="86" s="1"/>
  <c r="D42" i="86" s="1"/>
  <c r="E42" i="86" s="1"/>
  <c r="D21" i="86"/>
  <c r="C41" i="86"/>
  <c r="D41" i="86" s="1"/>
  <c r="E41" i="86" s="1"/>
  <c r="N49" i="68"/>
  <c r="B14" i="82"/>
  <c r="D64" i="82"/>
  <c r="D66" i="82" s="1"/>
  <c r="D61" i="74"/>
  <c r="D65" i="74"/>
  <c r="D1023" i="93"/>
  <c r="E67" i="74"/>
  <c r="H30" i="86"/>
  <c r="E73" i="82"/>
  <c r="E1014" i="93"/>
  <c r="E1016" i="93" s="1"/>
  <c r="C71" i="74"/>
  <c r="B1027" i="93"/>
  <c r="P1998" i="93"/>
  <c r="P1560" i="93"/>
  <c r="S30" i="74"/>
  <c r="F58" i="74"/>
  <c r="D60" i="74"/>
  <c r="P6" i="72"/>
  <c r="E46" i="74"/>
  <c r="E52" i="74" s="1"/>
  <c r="G43" i="74"/>
  <c r="G50" i="74" s="1"/>
  <c r="F45" i="74"/>
  <c r="F51" i="74"/>
  <c r="C53" i="86" s="1"/>
  <c r="F49" i="74"/>
  <c r="F44" i="74"/>
  <c r="E66" i="74" l="1"/>
  <c r="B20" i="82"/>
  <c r="B21" i="82" s="1"/>
  <c r="G20" i="82"/>
  <c r="E21" i="86"/>
  <c r="D22" i="86"/>
  <c r="D71" i="82"/>
  <c r="E64" i="82"/>
  <c r="E71" i="82" s="1"/>
  <c r="E65" i="74"/>
  <c r="E61" i="74"/>
  <c r="E1023" i="93"/>
  <c r="F67" i="74"/>
  <c r="I30" i="86"/>
  <c r="D71" i="74"/>
  <c r="C1027" i="93"/>
  <c r="F73" i="82"/>
  <c r="F1014" i="93"/>
  <c r="F1016" i="93" s="1"/>
  <c r="S31" i="74"/>
  <c r="H29" i="86"/>
  <c r="H37" i="86" s="1"/>
  <c r="H38" i="86" s="1"/>
  <c r="H40" i="86" s="1"/>
  <c r="H44" i="86" s="1"/>
  <c r="K18" i="86" s="1"/>
  <c r="E60" i="74"/>
  <c r="I29" i="86" s="1"/>
  <c r="G58" i="74"/>
  <c r="F46" i="74"/>
  <c r="F52" i="74" s="1"/>
  <c r="H43" i="74"/>
  <c r="H50" i="74" s="1"/>
  <c r="G44" i="74"/>
  <c r="G45" i="74"/>
  <c r="G51" i="74"/>
  <c r="D53" i="86" s="1"/>
  <c r="G49" i="74"/>
  <c r="F66" i="74" l="1"/>
  <c r="I37" i="86"/>
  <c r="I38" i="86" s="1"/>
  <c r="I40" i="86" s="1"/>
  <c r="I44" i="86" s="1"/>
  <c r="K19" i="86" s="1"/>
  <c r="F21" i="86"/>
  <c r="E22" i="86"/>
  <c r="E66" i="82"/>
  <c r="F65" i="74"/>
  <c r="F61" i="74"/>
  <c r="F1023" i="93"/>
  <c r="G67" i="74"/>
  <c r="D50" i="86" s="1"/>
  <c r="D57" i="86" s="1"/>
  <c r="D58" i="86" s="1"/>
  <c r="D60" i="86" s="1"/>
  <c r="D64" i="86" s="1"/>
  <c r="K21" i="86" s="1"/>
  <c r="C50" i="86"/>
  <c r="G73" i="82"/>
  <c r="G1014" i="93"/>
  <c r="G1016" i="93" s="1"/>
  <c r="E71" i="74"/>
  <c r="D1027" i="93"/>
  <c r="F60" i="74"/>
  <c r="F64" i="82"/>
  <c r="S32" i="74"/>
  <c r="H58" i="74"/>
  <c r="I43" i="74"/>
  <c r="I50" i="74" s="1"/>
  <c r="H44" i="74"/>
  <c r="H45" i="74"/>
  <c r="H51" i="74"/>
  <c r="E53" i="86" s="1"/>
  <c r="H49" i="74"/>
  <c r="G46" i="74"/>
  <c r="G52" i="74" s="1"/>
  <c r="G66" i="74" l="1"/>
  <c r="G21" i="86"/>
  <c r="F22" i="86"/>
  <c r="G65" i="74"/>
  <c r="G61" i="74"/>
  <c r="G1023" i="93"/>
  <c r="H67" i="74"/>
  <c r="H73" i="82"/>
  <c r="H1014" i="93"/>
  <c r="H1016" i="93" s="1"/>
  <c r="F71" i="74"/>
  <c r="E1027" i="93"/>
  <c r="S33" i="74"/>
  <c r="C49" i="86"/>
  <c r="C57" i="86" s="1"/>
  <c r="C58" i="86" s="1"/>
  <c r="C60" i="86" s="1"/>
  <c r="C64" i="86" s="1"/>
  <c r="K20" i="86" s="1"/>
  <c r="G60" i="74"/>
  <c r="S34" i="74" s="1"/>
  <c r="G64" i="82"/>
  <c r="F71" i="82"/>
  <c r="F66" i="82"/>
  <c r="B25" i="82" s="1"/>
  <c r="I58" i="74"/>
  <c r="H46" i="74"/>
  <c r="H52" i="74" s="1"/>
  <c r="I44" i="74"/>
  <c r="I49" i="74"/>
  <c r="J43" i="74"/>
  <c r="J50" i="74" s="1"/>
  <c r="I51" i="74"/>
  <c r="F53" i="86" s="1"/>
  <c r="I45" i="74"/>
  <c r="H66" i="74" l="1"/>
  <c r="H21" i="86"/>
  <c r="G22" i="86"/>
  <c r="H65" i="74"/>
  <c r="H61" i="74"/>
  <c r="H1023" i="93"/>
  <c r="I67" i="74"/>
  <c r="E50" i="86"/>
  <c r="E57" i="86" s="1"/>
  <c r="E58" i="86" s="1"/>
  <c r="E60" i="86" s="1"/>
  <c r="E64" i="86" s="1"/>
  <c r="K22" i="86" s="1"/>
  <c r="G71" i="74"/>
  <c r="G1027" i="93" s="1"/>
  <c r="F1027" i="93"/>
  <c r="I73" i="82"/>
  <c r="I1014" i="93"/>
  <c r="I1016" i="93" s="1"/>
  <c r="F44" i="68"/>
  <c r="F407" i="93" s="1"/>
  <c r="H60" i="74"/>
  <c r="S35" i="74" s="1"/>
  <c r="H64" i="82"/>
  <c r="G71" i="82"/>
  <c r="G66" i="82"/>
  <c r="B72" i="82"/>
  <c r="B74" i="82" s="1"/>
  <c r="G72" i="82"/>
  <c r="J72" i="82"/>
  <c r="B26" i="82"/>
  <c r="E52" i="82"/>
  <c r="E54" i="82" s="1"/>
  <c r="E55" i="82" s="1"/>
  <c r="E56" i="82" s="1"/>
  <c r="J52" i="82"/>
  <c r="J54" i="82" s="1"/>
  <c r="J55" i="82" s="1"/>
  <c r="J56" i="82" s="1"/>
  <c r="D72" i="82"/>
  <c r="D74" i="82" s="1"/>
  <c r="D75" i="82" s="1"/>
  <c r="D76" i="82" s="1"/>
  <c r="I52" i="82"/>
  <c r="I54" i="82" s="1"/>
  <c r="I55" i="82" s="1"/>
  <c r="I56" i="82" s="1"/>
  <c r="G52" i="82"/>
  <c r="G54" i="82" s="1"/>
  <c r="G55" i="82" s="1"/>
  <c r="G56" i="82" s="1"/>
  <c r="F52" i="82"/>
  <c r="F54" i="82" s="1"/>
  <c r="F55" i="82" s="1"/>
  <c r="F56" i="82" s="1"/>
  <c r="C72" i="82"/>
  <c r="C74" i="82" s="1"/>
  <c r="C75" i="82" s="1"/>
  <c r="C76" i="82" s="1"/>
  <c r="B52" i="82"/>
  <c r="B54" i="82" s="1"/>
  <c r="I72" i="82"/>
  <c r="H72" i="82"/>
  <c r="F72" i="82"/>
  <c r="F74" i="82" s="1"/>
  <c r="F75" i="82" s="1"/>
  <c r="F76" i="82" s="1"/>
  <c r="H52" i="82"/>
  <c r="H54" i="82" s="1"/>
  <c r="H55" i="82" s="1"/>
  <c r="H56" i="82" s="1"/>
  <c r="E72" i="82"/>
  <c r="E74" i="82" s="1"/>
  <c r="E75" i="82" s="1"/>
  <c r="E76" i="82" s="1"/>
  <c r="K72" i="82"/>
  <c r="K52" i="82"/>
  <c r="K54" i="82" s="1"/>
  <c r="D52" i="82"/>
  <c r="D54" i="82" s="1"/>
  <c r="D55" i="82" s="1"/>
  <c r="D56" i="82" s="1"/>
  <c r="C52" i="82"/>
  <c r="C54" i="82" s="1"/>
  <c r="C55" i="82" s="1"/>
  <c r="C56" i="82" s="1"/>
  <c r="J58" i="74"/>
  <c r="I46" i="74"/>
  <c r="I52" i="74" s="1"/>
  <c r="K43" i="74"/>
  <c r="K50" i="74" s="1"/>
  <c r="J49" i="74"/>
  <c r="J44" i="74"/>
  <c r="J51" i="74"/>
  <c r="G53" i="86" s="1"/>
  <c r="J45" i="74"/>
  <c r="I66" i="74" l="1"/>
  <c r="H22" i="86"/>
  <c r="I21" i="86"/>
  <c r="I22" i="86" s="1"/>
  <c r="I65" i="74"/>
  <c r="I61" i="74"/>
  <c r="I1023" i="93"/>
  <c r="J67" i="74"/>
  <c r="F50" i="86"/>
  <c r="F57" i="86" s="1"/>
  <c r="F58" i="86" s="1"/>
  <c r="F60" i="86" s="1"/>
  <c r="F64" i="86" s="1"/>
  <c r="K23" i="86" s="1"/>
  <c r="J73" i="82"/>
  <c r="J1014" i="93"/>
  <c r="J1016" i="93" s="1"/>
  <c r="B75" i="82"/>
  <c r="B76" i="82" s="1"/>
  <c r="H71" i="82"/>
  <c r="H74" i="82" s="1"/>
  <c r="H75" i="82" s="1"/>
  <c r="H76" i="82" s="1"/>
  <c r="H66" i="82"/>
  <c r="B55" i="82"/>
  <c r="B5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28" i="82"/>
  <c r="B5" i="82"/>
  <c r="B6" i="82" s="1"/>
  <c r="B7" i="82" s="1"/>
  <c r="I60" i="74"/>
  <c r="S36" i="74" s="1"/>
  <c r="I64" i="82"/>
  <c r="K55" i="82"/>
  <c r="K56" i="82" s="1"/>
  <c r="G74" i="82"/>
  <c r="G75" i="82" s="1"/>
  <c r="G76" i="82" s="1"/>
  <c r="K58" i="74"/>
  <c r="K1014" i="93" s="1"/>
  <c r="K1016" i="93" s="1"/>
  <c r="B73" i="74"/>
  <c r="B80" i="74" s="1"/>
  <c r="K44" i="74"/>
  <c r="K45" i="74"/>
  <c r="K51" i="74"/>
  <c r="H53" i="86" s="1"/>
  <c r="K49" i="74"/>
  <c r="J46" i="74"/>
  <c r="J52" i="74" s="1"/>
  <c r="J66" i="74" l="1"/>
  <c r="J65" i="74"/>
  <c r="J61" i="74"/>
  <c r="J1023" i="93"/>
  <c r="K67" i="74"/>
  <c r="H50" i="86" s="1"/>
  <c r="H57" i="86" s="1"/>
  <c r="H58" i="86" s="1"/>
  <c r="H60" i="86" s="1"/>
  <c r="H64" i="86" s="1"/>
  <c r="K25" i="86" s="1"/>
  <c r="G50" i="86"/>
  <c r="G57" i="86" s="1"/>
  <c r="G58" i="86" s="1"/>
  <c r="G60" i="86" s="1"/>
  <c r="G64" i="86" s="1"/>
  <c r="K24" i="86" s="1"/>
  <c r="B29" i="82"/>
  <c r="G21" i="82"/>
  <c r="B56" i="82"/>
  <c r="J60" i="74"/>
  <c r="S37" i="74" s="1"/>
  <c r="J64" i="82"/>
  <c r="I71" i="82"/>
  <c r="I74" i="82" s="1"/>
  <c r="I75" i="82" s="1"/>
  <c r="I76" i="82" s="1"/>
  <c r="I66" i="82"/>
  <c r="K73" i="82"/>
  <c r="B88" i="74"/>
  <c r="B1044" i="93" s="1"/>
  <c r="B1045" i="93" s="1"/>
  <c r="K46" i="74"/>
  <c r="K52" i="74" s="1"/>
  <c r="C73" i="74"/>
  <c r="C80" i="74" s="1"/>
  <c r="B81" i="74"/>
  <c r="B74" i="74"/>
  <c r="B79" i="74"/>
  <c r="B75" i="74"/>
  <c r="K66" i="74" l="1"/>
  <c r="K61" i="74"/>
  <c r="K65" i="74"/>
  <c r="O8" i="86"/>
  <c r="O14" i="86" s="1"/>
  <c r="O33" i="86" s="1"/>
  <c r="H63" i="86" s="1"/>
  <c r="L93" i="85"/>
  <c r="L63" i="85"/>
  <c r="K1023" i="93"/>
  <c r="C85" i="90"/>
  <c r="B96" i="74"/>
  <c r="J71" i="82"/>
  <c r="J74" i="82" s="1"/>
  <c r="J75" i="82" s="1"/>
  <c r="J76" i="82" s="1"/>
  <c r="J66" i="82"/>
  <c r="K60" i="74"/>
  <c r="S38" i="74" s="1"/>
  <c r="K64" i="82"/>
  <c r="I45" i="68"/>
  <c r="I408" i="93" s="1"/>
  <c r="C88" i="74"/>
  <c r="C1044" i="93" s="1"/>
  <c r="C1045" i="93" s="1"/>
  <c r="D73" i="74"/>
  <c r="D80" i="74" s="1"/>
  <c r="C79" i="74"/>
  <c r="C81" i="74"/>
  <c r="C75" i="74"/>
  <c r="C74" i="74"/>
  <c r="B76" i="74"/>
  <c r="B82" i="74" s="1"/>
  <c r="B95" i="74" l="1"/>
  <c r="B89" i="74"/>
  <c r="B90" i="74"/>
  <c r="B94" i="74"/>
  <c r="B1052" i="93"/>
  <c r="C96" i="74"/>
  <c r="F408" i="93"/>
  <c r="F85" i="92"/>
  <c r="F89" i="92" s="1"/>
  <c r="F105" i="92" s="1"/>
  <c r="K71" i="82"/>
  <c r="K74" i="82" s="1"/>
  <c r="K75" i="82" s="1"/>
  <c r="K76" i="82" s="1"/>
  <c r="K66" i="82"/>
  <c r="D88" i="74"/>
  <c r="D1044" i="93" s="1"/>
  <c r="D1045" i="93" s="1"/>
  <c r="C76" i="74"/>
  <c r="C82" i="74" s="1"/>
  <c r="E73" i="74"/>
  <c r="E80" i="74" s="1"/>
  <c r="D81" i="74"/>
  <c r="D75" i="74"/>
  <c r="D79" i="74"/>
  <c r="D74" i="74"/>
  <c r="C95" i="74" l="1"/>
  <c r="C89" i="74"/>
  <c r="C90" i="74"/>
  <c r="C94" i="74"/>
  <c r="C1052" i="93"/>
  <c r="D96" i="74"/>
  <c r="E88" i="74"/>
  <c r="E1044" i="93" s="1"/>
  <c r="E1045" i="93" s="1"/>
  <c r="D76" i="74"/>
  <c r="D82" i="74" s="1"/>
  <c r="F73" i="74"/>
  <c r="F80" i="74" s="1"/>
  <c r="E74" i="74"/>
  <c r="E79" i="74"/>
  <c r="E75" i="74"/>
  <c r="E81" i="74"/>
  <c r="D95" i="74" l="1"/>
  <c r="D89" i="74"/>
  <c r="D94" i="74"/>
  <c r="D90" i="74"/>
  <c r="D1052" i="93"/>
  <c r="E96" i="74"/>
  <c r="F88" i="74"/>
  <c r="F1044" i="93" s="1"/>
  <c r="F1045" i="93" s="1"/>
  <c r="E76" i="74"/>
  <c r="E82" i="74" s="1"/>
  <c r="G73" i="74"/>
  <c r="G80" i="74" s="1"/>
  <c r="F75" i="74"/>
  <c r="F74" i="74"/>
  <c r="F81" i="74"/>
  <c r="F79" i="74"/>
  <c r="E95" i="74" l="1"/>
  <c r="E89" i="74"/>
  <c r="E90" i="74"/>
  <c r="E94" i="74"/>
  <c r="E1052" i="93"/>
  <c r="F96" i="74"/>
  <c r="G88" i="74"/>
  <c r="G1044" i="93" s="1"/>
  <c r="G1045" i="93" s="1"/>
  <c r="H73" i="74"/>
  <c r="H80" i="74" s="1"/>
  <c r="G74" i="74"/>
  <c r="G79" i="74"/>
  <c r="G75" i="74"/>
  <c r="G81" i="74"/>
  <c r="F76" i="74"/>
  <c r="F82" i="74" s="1"/>
  <c r="F95" i="74" l="1"/>
  <c r="F89" i="74"/>
  <c r="F94" i="74"/>
  <c r="F90" i="74"/>
  <c r="F1052" i="93"/>
  <c r="G96" i="74"/>
  <c r="H88" i="74"/>
  <c r="H1044" i="93" s="1"/>
  <c r="H1045" i="93" s="1"/>
  <c r="G76" i="74"/>
  <c r="G82" i="74" s="1"/>
  <c r="I73" i="74"/>
  <c r="I80" i="74" s="1"/>
  <c r="H81" i="74"/>
  <c r="H75" i="74"/>
  <c r="H74" i="74"/>
  <c r="H79" i="74"/>
  <c r="G95" i="74" l="1"/>
  <c r="G89" i="74"/>
  <c r="G90" i="74"/>
  <c r="G94" i="74"/>
  <c r="G1052" i="93"/>
  <c r="H96" i="74"/>
  <c r="I88" i="74"/>
  <c r="I1044" i="93" s="1"/>
  <c r="I1045" i="93" s="1"/>
  <c r="J73" i="74"/>
  <c r="J80" i="74" s="1"/>
  <c r="I79" i="74"/>
  <c r="I74" i="74"/>
  <c r="I81" i="74"/>
  <c r="I75" i="74"/>
  <c r="H76" i="74"/>
  <c r="H82" i="74" s="1"/>
  <c r="H95" i="74" l="1"/>
  <c r="H89" i="74"/>
  <c r="H90" i="74"/>
  <c r="H94" i="74"/>
  <c r="H1052" i="93"/>
  <c r="I96" i="74"/>
  <c r="J88" i="74"/>
  <c r="J1044" i="93" s="1"/>
  <c r="J1045" i="93" s="1"/>
  <c r="I76" i="74"/>
  <c r="I82" i="74" s="1"/>
  <c r="K73" i="74"/>
  <c r="K80" i="74" s="1"/>
  <c r="J79" i="74"/>
  <c r="J81" i="74"/>
  <c r="J75" i="74"/>
  <c r="J74" i="74"/>
  <c r="I95" i="74" l="1"/>
  <c r="I89" i="74"/>
  <c r="I94" i="74"/>
  <c r="I90" i="74"/>
  <c r="I1052" i="93"/>
  <c r="J96" i="74"/>
  <c r="K88" i="74"/>
  <c r="K1044" i="93" s="1"/>
  <c r="K1045" i="93" s="1"/>
  <c r="J76" i="74"/>
  <c r="J82" i="74" s="1"/>
  <c r="B101" i="74"/>
  <c r="B108" i="74" s="1"/>
  <c r="K74" i="74"/>
  <c r="K75" i="74"/>
  <c r="K81" i="74"/>
  <c r="K79" i="74"/>
  <c r="J95" i="74" l="1"/>
  <c r="J89" i="74"/>
  <c r="J90" i="74"/>
  <c r="J94" i="74"/>
  <c r="J1052" i="93"/>
  <c r="K96" i="74"/>
  <c r="B116" i="74"/>
  <c r="B1072" i="93" s="1"/>
  <c r="B1073" i="93" s="1"/>
  <c r="K76" i="74"/>
  <c r="K82" i="74" s="1"/>
  <c r="C101" i="74"/>
  <c r="C108" i="74" s="1"/>
  <c r="B109" i="74"/>
  <c r="B107" i="74"/>
  <c r="B102" i="74"/>
  <c r="B103" i="74"/>
  <c r="K95" i="74" l="1"/>
  <c r="K89" i="74"/>
  <c r="K90" i="74"/>
  <c r="K94" i="74"/>
  <c r="K1052" i="93"/>
  <c r="B124" i="74"/>
  <c r="C116" i="74"/>
  <c r="C1072" i="93" s="1"/>
  <c r="C1073" i="93" s="1"/>
  <c r="D101" i="74"/>
  <c r="D108" i="74" s="1"/>
  <c r="C109" i="74"/>
  <c r="C107" i="74"/>
  <c r="C103" i="74"/>
  <c r="C102" i="74"/>
  <c r="B104" i="74"/>
  <c r="B110" i="74" s="1"/>
  <c r="B123" i="74" l="1"/>
  <c r="B117" i="74"/>
  <c r="B122" i="74"/>
  <c r="B118" i="74"/>
  <c r="B1080" i="93"/>
  <c r="C124" i="74"/>
  <c r="D116" i="74"/>
  <c r="D1072" i="93" s="1"/>
  <c r="D1073" i="93" s="1"/>
  <c r="C104" i="74"/>
  <c r="C110" i="74" s="1"/>
  <c r="D107" i="74"/>
  <c r="D102" i="74"/>
  <c r="E101" i="74"/>
  <c r="E108" i="74" s="1"/>
  <c r="D103" i="74"/>
  <c r="D109" i="74"/>
  <c r="C123" i="74" l="1"/>
  <c r="C117" i="74"/>
  <c r="C118" i="74"/>
  <c r="C122" i="74"/>
  <c r="C1080" i="93"/>
  <c r="D124" i="74"/>
  <c r="E116" i="74"/>
  <c r="E1072" i="93" s="1"/>
  <c r="E1073" i="93" s="1"/>
  <c r="D104" i="74"/>
  <c r="D110" i="74" s="1"/>
  <c r="F101" i="74"/>
  <c r="F108" i="74" s="1"/>
  <c r="E102" i="74"/>
  <c r="E109" i="74"/>
  <c r="E103" i="74"/>
  <c r="E107" i="74"/>
  <c r="D123" i="74" l="1"/>
  <c r="D117" i="74"/>
  <c r="D122" i="74"/>
  <c r="D118" i="74"/>
  <c r="D1080" i="93"/>
  <c r="E124" i="74"/>
  <c r="F116" i="74"/>
  <c r="F1072" i="93" s="1"/>
  <c r="F1073" i="93" s="1"/>
  <c r="E104" i="74"/>
  <c r="E110" i="74" s="1"/>
  <c r="F109" i="74"/>
  <c r="F103" i="74"/>
  <c r="F102" i="74"/>
  <c r="F107" i="74"/>
  <c r="E123" i="74" l="1"/>
  <c r="E117" i="74"/>
  <c r="E118" i="74"/>
  <c r="E122" i="74"/>
  <c r="E1080" i="93"/>
  <c r="F124" i="74"/>
  <c r="F1080" i="93" s="1"/>
  <c r="F104" i="74"/>
  <c r="F110" i="74" s="1"/>
  <c r="F123" i="74" l="1"/>
  <c r="F117" i="74"/>
  <c r="F122" i="74"/>
  <c r="F118"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l="1"/>
  <c r="G58" i="26"/>
  <c r="A1" i="25"/>
  <c r="A50" i="25"/>
  <c r="A1" i="26"/>
  <c r="O294" i="72" l="1"/>
  <c r="Q295" i="72"/>
  <c r="E37" i="72" l="1"/>
  <c r="E1591" i="93" s="1"/>
  <c r="O1848" i="93"/>
  <c r="O1995" i="93" s="1"/>
  <c r="O1560" i="93" s="1"/>
  <c r="O441" i="72"/>
  <c r="O6" i="72" l="1"/>
  <c r="R1995"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<sst xmlns="http://schemas.openxmlformats.org/spreadsheetml/2006/main" count="13298" uniqueCount="4854">
  <si>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</si>
  <si>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</si>
  <si>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</si>
  <si>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</si>
  <si>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</si>
  <si>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</si>
  <si>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</si>
  <si>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</si>
  <si>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</si>
  <si>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</si>
  <si>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</si>
  <si>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</si>
  <si>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</si>
  <si>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</si>
  <si>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</si>
  <si>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</si>
  <si>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</si>
  <si>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</si>
  <si>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</si>
  <si>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</si>
  <si>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</si>
  <si>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</si>
  <si>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</si>
  <si>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</si>
  <si>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</si>
  <si>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</si>
  <si>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</si>
  <si>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</si>
  <si>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</si>
  <si>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</si>
  <si>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</si>
  <si>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</si>
  <si>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</si>
  <si>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</si>
  <si>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</si>
  <si>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</si>
  <si>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</si>
  <si>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</si>
  <si>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</si>
  <si>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</si>
  <si>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</si>
  <si>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</si>
  <si>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</si>
  <si>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</si>
  <si>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</si>
  <si>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</si>
  <si>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</si>
  <si>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</si>
  <si>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</si>
  <si>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</si>
  <si>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</si>
  <si>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</si>
  <si>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</si>
  <si>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</si>
  <si>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</si>
  <si>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</si>
  <si>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</si>
  <si>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</si>
  <si>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</si>
  <si>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</si>
  <si>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</si>
  <si>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</si>
  <si>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</si>
  <si>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</si>
  <si>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</si>
  <si>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</si>
  <si>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</si>
  <si>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</si>
  <si>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</si>
  <si>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</si>
  <si>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</si>
  <si>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</si>
  <si>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</si>
  <si>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</si>
  <si>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</si>
  <si>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</si>
  <si>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</si>
  <si>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</si>
  <si>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</si>
  <si>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</si>
  <si>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</si>
  <si>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</si>
  <si>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</si>
  <si>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</si>
  <si>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</si>
  <si>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</si>
  <si>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</si>
  <si>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</si>
  <si>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</si>
  <si>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</si>
  <si>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</si>
  <si>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</si>
  <si>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</si>
  <si>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</si>
  <si>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</si>
  <si>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</si>
  <si>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</si>
  <si>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</si>
  <si>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</si>
  <si>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</si>
  <si>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</si>
  <si>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</si>
  <si>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</si>
  <si>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</si>
  <si>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</si>
  <si>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</si>
  <si>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</si>
  <si>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</si>
  <si>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</si>
  <si>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</si>
  <si>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</si>
  <si>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</si>
  <si>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</si>
  <si>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</si>
  <si>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</si>
  <si>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</si>
  <si>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</si>
  <si>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</si>
  <si>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</si>
  <si>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</si>
  <si>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</si>
  <si>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</si>
  <si>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</si>
  <si>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</si>
  <si>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</si>
  <si>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</si>
  <si>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</si>
  <si>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</si>
  <si>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</si>
  <si>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</si>
  <si>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</si>
  <si>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</si>
  <si>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</si>
  <si>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</si>
  <si>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</si>
  <si>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</si>
  <si>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</si>
  <si>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</si>
  <si>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</si>
  <si>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</si>
  <si>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</si>
  <si>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</si>
  <si>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</si>
  <si>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</si>
  <si>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</si>
  <si>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</si>
  <si>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</si>
  <si>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</si>
  <si>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</si>
  <si>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</si>
  <si>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</si>
  <si>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</si>
  <si>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</si>
  <si>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</si>
  <si>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</si>
  <si>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</si>
  <si>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</si>
  <si>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</si>
  <si>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</si>
  <si>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</si>
  <si>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</si>
  <si>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</si>
  <si>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</si>
  <si>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</si>
  <si>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</si>
  <si>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</si>
  <si>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</si>
  <si>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</si>
  <si>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</si>
  <si>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</si>
  <si>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</si>
  <si>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</si>
  <si>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</si>
  <si>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</si>
  <si>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</si>
  <si>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</si>
  <si>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</si>
  <si>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</si>
  <si>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</si>
  <si>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</si>
  <si>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</si>
  <si>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</si>
  <si>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</si>
  <si>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</si>
  <si>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</si>
  <si>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</si>
  <si>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</si>
  <si>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</si>
  <si>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</si>
  <si>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</si>
  <si>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</si>
  <si>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</si>
  <si>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</si>
  <si>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</si>
  <si>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</si>
  <si>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</si>
  <si>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</si>
  <si>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</si>
  <si>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</si>
  <si>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</si>
  <si>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</si>
  <si>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</si>
  <si>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</si>
  <si>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</si>
  <si>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</si>
  <si>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</si>
  <si>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</si>
  <si>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</si>
  <si>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</si>
  <si>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</si>
  <si>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</si>
  <si>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</si>
  <si>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</si>
  <si>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</si>
  <si>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</si>
  <si>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</si>
  <si>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</si>
  <si>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</si>
  <si>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</si>
  <si>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</si>
  <si>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</si>
  <si>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</si>
  <si>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</si>
  <si>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</si>
  <si>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</si>
  <si>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</si>
  <si>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</si>
  <si>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</si>
  <si>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</si>
  <si>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</si>
  <si>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</si>
  <si>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</si>
  <si>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</si>
  <si>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</si>
  <si>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</si>
  <si>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</si>
  <si>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</si>
  <si>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</si>
  <si>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</si>
  <si>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</si>
  <si>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</si>
  <si>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</si>
  <si>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</si>
  <si>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</si>
  <si>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</si>
  <si>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</si>
  <si>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</si>
  <si>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</si>
  <si>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</si>
  <si>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</si>
  <si>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</si>
  <si>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</si>
  <si>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</si>
  <si>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</si>
  <si>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</si>
  <si>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</si>
  <si>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</si>
  <si>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</si>
  <si>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</si>
  <si>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</si>
  <si>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</si>
  <si>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</si>
  <si>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</si>
  <si>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</si>
  <si>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</si>
  <si>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</si>
  <si>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</si>
  <si>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</si>
  <si>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</si>
  <si>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</si>
  <si>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</si>
  <si>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</si>
  <si>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</si>
  <si>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</si>
  <si>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</si>
  <si>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</si>
  <si>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</si>
  <si>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</si>
  <si>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</si>
  <si>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</si>
  <si>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</si>
  <si>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</si>
  <si>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</si>
  <si>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</si>
  <si>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</si>
  <si>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</si>
  <si>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</si>
  <si>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</si>
  <si>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</si>
  <si>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</si>
  <si>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</si>
  <si>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</si>
  <si>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</si>
  <si>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</si>
  <si>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</si>
  <si>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</si>
  <si>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</si>
  <si>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</si>
  <si>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</si>
  <si>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</si>
  <si>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</si>
  <si>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</si>
  <si>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</si>
  <si>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</si>
  <si>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</si>
  <si>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</si>
  <si>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</si>
  <si>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</si>
  <si>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</si>
  <si>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</si>
  <si>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</si>
  <si>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</si>
  <si>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</si>
  <si>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</si>
  <si>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</si>
  <si>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</si>
  <si>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</si>
  <si>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</si>
  <si>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</si>
  <si>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</si>
  <si>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</si>
  <si>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</si>
  <si>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</si>
  <si>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</si>
  <si>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</si>
  <si>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</si>
  <si>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</si>
  <si>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</si>
  <si>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</si>
  <si>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</si>
  <si>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</si>
  <si>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</si>
  <si>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</si>
  <si>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</si>
  <si>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</si>
  <si>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</si>
  <si>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</si>
  <si>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</si>
  <si>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</si>
  <si>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</si>
  <si>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</si>
  <si>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</si>
  <si>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</si>
  <si>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</si>
  <si>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</si>
  <si>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</si>
  <si>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</si>
  <si>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</si>
  <si>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</si>
  <si>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</si>
  <si>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</si>
  <si>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</si>
  <si>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</si>
  <si>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</si>
  <si>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</si>
  <si>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</si>
  <si>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</si>
  <si>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</si>
  <si>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</si>
  <si>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</si>
  <si>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</si>
  <si>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</si>
  <si>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</si>
  <si>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</si>
  <si>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</si>
  <si>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</si>
  <si>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</si>
  <si>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</si>
  <si>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</si>
  <si>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</si>
  <si>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</si>
  <si>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</si>
  <si>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</si>
  <si>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</si>
  <si>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</si>
  <si>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</si>
  <si>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</si>
  <si>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</si>
  <si>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</si>
  <si>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</si>
  <si>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</si>
  <si>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</si>
  <si>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</si>
  <si>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</si>
  <si>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</si>
  <si>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</si>
  <si>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</si>
  <si>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</si>
  <si>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</si>
  <si>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</si>
  <si>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</si>
  <si>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</si>
  <si>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</si>
  <si>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</si>
  <si>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</si>
  <si>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</si>
  <si>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</si>
  <si>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</si>
  <si>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</si>
  <si>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</si>
  <si>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</si>
  <si>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</si>
  <si>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</si>
  <si>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</si>
  <si>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</si>
  <si>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</si>
  <si>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</si>
  <si>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</si>
  <si>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</si>
  <si>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</si>
  <si>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</si>
  <si>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</si>
  <si>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</si>
  <si>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</si>
  <si>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</si>
  <si>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</si>
  <si>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</si>
  <si>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</si>
  <si>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</si>
  <si>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</si>
  <si>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</si>
  <si>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</si>
  <si>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</si>
  <si>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</si>
  <si>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</si>
  <si>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</si>
  <si>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</si>
  <si>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</si>
  <si>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</si>
  <si>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</si>
  <si>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</si>
  <si>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</si>
  <si>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</si>
  <si>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</si>
  <si>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</si>
  <si>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</si>
  <si>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</si>
  <si>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</si>
  <si>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</si>
  <si>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</si>
  <si>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</si>
  <si>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</si>
  <si>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</si>
  <si>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</si>
  <si>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</si>
  <si>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</si>
  <si>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</si>
  <si>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</si>
  <si>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</si>
  <si>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</si>
  <si>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</si>
  <si>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</si>
  <si>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</si>
  <si>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</si>
  <si>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</si>
  <si>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</si>
  <si>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</si>
  <si>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</si>
  <si>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</si>
  <si>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</si>
  <si>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</si>
  <si>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</si>
  <si>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</si>
  <si>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</si>
  <si>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</si>
  <si>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</si>
  <si>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</si>
  <si>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</si>
  <si>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</si>
  <si>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</si>
  <si>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</si>
  <si>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</si>
  <si>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</si>
  <si>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</si>
  <si>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</si>
  <si>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</si>
  <si>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</si>
  <si>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</si>
  <si>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</si>
  <si>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</si>
  <si>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</si>
  <si>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</si>
  <si>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</si>
  <si>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</si>
  <si>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</si>
  <si>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</si>
  <si>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</si>
  <si>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</si>
  <si>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</si>
  <si>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</si>
  <si>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</si>
  <si>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</si>
  <si>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</si>
  <si>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</si>
  <si>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</si>
  <si>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</si>
  <si>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</si>
  <si>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</si>
  <si>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</si>
  <si>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</si>
  <si>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</si>
  <si>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</si>
  <si>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</si>
  <si>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</si>
  <si>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</si>
  <si>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</si>
  <si>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</si>
  <si>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</si>
  <si>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</si>
  <si>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</si>
  <si>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</si>
  <si>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</si>
  <si>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</si>
  <si>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</si>
  <si>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</si>
  <si>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</si>
  <si>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</si>
  <si>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</si>
  <si>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</si>
  <si>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</si>
  <si>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</si>
  <si>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</si>
  <si>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</si>
  <si>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</si>
  <si>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</si>
  <si>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</si>
  <si>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</si>
  <si>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</si>
  <si>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</si>
  <si>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</si>
  <si>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</si>
  <si>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</si>
  <si>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</si>
  <si>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</si>
  <si>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</si>
  <si>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</si>
  <si>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</si>
  <si>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</si>
  <si>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</si>
  <si>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</si>
  <si>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</si>
  <si>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</si>
  <si>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</si>
  <si>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</si>
  <si>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</si>
  <si>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</si>
  <si>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</si>
  <si>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</si>
  <si>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</si>
  <si>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</si>
  <si>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</si>
  <si>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</si>
  <si>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</si>
  <si>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</si>
  <si>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</si>
  <si>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</si>
  <si>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</si>
  <si>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</si>
  <si>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</si>
  <si>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</si>
  <si>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</si>
  <si>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</si>
  <si>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</si>
  <si>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</si>
  <si>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</si>
  <si>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</si>
  <si>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</si>
  <si>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</si>
  <si>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</si>
  <si>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</si>
  <si>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</si>
  <si>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</si>
  <si>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</si>
  <si>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</si>
  <si>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</si>
  <si>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</si>
  <si>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</si>
  <si>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</si>
  <si>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</si>
  <si>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</si>
  <si>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</si>
  <si>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</si>
  <si>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</si>
  <si>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</si>
  <si>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</si>
  <si>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</si>
  <si>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</si>
  <si>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</si>
  <si>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</si>
  <si>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</si>
  <si>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</si>
  <si>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</si>
  <si>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</si>
  <si>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</si>
  <si>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</si>
  <si>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</si>
  <si>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</si>
  <si>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</si>
  <si>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</si>
  <si>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</si>
  <si>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</si>
  <si>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</si>
  <si>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</si>
  <si>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</si>
  <si>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</si>
  <si>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</si>
  <si>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</si>
  <si>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</si>
  <si>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</si>
  <si>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</si>
  <si>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</si>
  <si>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</si>
  <si>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</si>
  <si>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</si>
  <si>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</si>
  <si>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</si>
  <si>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</si>
  <si>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</si>
  <si>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</si>
  <si>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</si>
  <si>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</si>
  <si>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</si>
  <si>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</si>
  <si>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</si>
  <si>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</si>
  <si>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</si>
  <si>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</si>
  <si>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</si>
  <si>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</si>
  <si>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</si>
  <si>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</si>
  <si>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</si>
  <si>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</si>
  <si>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</si>
  <si>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</si>
  <si>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</si>
  <si>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</si>
  <si>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</si>
  <si>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</si>
  <si>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</si>
  <si>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</si>
  <si>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</si>
  <si>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</si>
  <si>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</si>
  <si>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</si>
  <si>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</si>
  <si>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</si>
  <si>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</si>
  <si>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</si>
  <si>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</si>
  <si>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</si>
  <si>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</si>
  <si>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</si>
  <si>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</si>
  <si>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</si>
  <si>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</si>
  <si>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</si>
  <si>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</si>
  <si>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</si>
  <si>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</si>
  <si>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</si>
  <si>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</si>
  <si>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</si>
  <si>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</si>
  <si>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</si>
  <si>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</si>
  <si>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</si>
  <si>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</si>
  <si>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</si>
  <si>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</si>
  <si>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</si>
  <si>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</si>
  <si>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</si>
  <si>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</si>
  <si>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</si>
  <si>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</si>
  <si>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</si>
  <si>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</si>
  <si>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</si>
  <si>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</si>
  <si>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</si>
  <si>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</si>
  <si>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</si>
  <si>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</si>
  <si>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</si>
  <si>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</si>
  <si>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</si>
  <si>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</si>
  <si>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</si>
  <si>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</si>
  <si>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</si>
  <si>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</si>
  <si>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</si>
  <si>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</si>
  <si>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</si>
  <si>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</si>
  <si>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</si>
  <si>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</si>
  <si>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</si>
  <si>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</si>
  <si>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</si>
  <si>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</si>
  <si>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</si>
  <si>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</si>
  <si>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</si>
  <si>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</si>
  <si>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</si>
  <si>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</si>
  <si>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</si>
  <si>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</si>
  <si>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</si>
  <si>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</si>
  <si>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</si>
  <si>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</si>
  <si>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</si>
  <si>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</si>
  <si>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</si>
  <si>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</si>
  <si>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</si>
  <si>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</si>
  <si>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</si>
  <si>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</si>
  <si>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</si>
  <si>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</si>
  <si>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</si>
  <si>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</si>
  <si>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</si>
  <si>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</si>
  <si>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</si>
  <si>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</si>
  <si>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</si>
  <si>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</si>
  <si>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</si>
  <si>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</si>
  <si>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</si>
  <si>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</si>
  <si>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</si>
  <si>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</si>
  <si>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</si>
  <si>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</si>
  <si>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</si>
  <si>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</si>
  <si>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</si>
  <si>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</si>
  <si>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</si>
  <si>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</si>
  <si>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</si>
  <si>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</si>
  <si>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</si>
  <si>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</si>
  <si>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</si>
  <si>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</si>
  <si>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</si>
  <si>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</si>
  <si>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</si>
  <si>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</si>
  <si>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</si>
  <si>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</si>
  <si>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</si>
  <si>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</si>
  <si>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</si>
  <si>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</si>
  <si>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</si>
  <si>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</si>
  <si>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</si>
  <si>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</si>
  <si>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</si>
  <si>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</si>
  <si>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</si>
  <si>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</si>
  <si>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</si>
  <si>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</si>
  <si>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</si>
  <si>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</si>
  <si>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</si>
  <si>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</si>
  <si>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</si>
  <si>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</si>
  <si>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</si>
  <si>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</si>
  <si>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</si>
  <si>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</si>
  <si>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</si>
  <si>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</si>
  <si>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</si>
  <si>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</si>
  <si>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</si>
  <si>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</si>
  <si>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</si>
  <si>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</si>
  <si>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</si>
  <si>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</si>
  <si>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</si>
  <si>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</si>
  <si>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</si>
  <si>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</si>
  <si>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</si>
  <si>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</si>
  <si>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</si>
  <si>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</si>
  <si>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</si>
  <si>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</si>
  <si>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</si>
  <si>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</si>
  <si>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</si>
  <si>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</si>
  <si>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</si>
  <si>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</si>
  <si>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</si>
  <si>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</si>
  <si>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</si>
  <si>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</si>
  <si>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</si>
  <si>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</si>
  <si>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</si>
  <si>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</si>
  <si>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</si>
  <si>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</si>
  <si>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</si>
  <si>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</si>
  <si>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</si>
  <si>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</si>
  <si>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</si>
  <si>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</si>
  <si>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</si>
  <si>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</si>
  <si>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</si>
  <si>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</si>
  <si>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</si>
  <si>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</si>
  <si>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</si>
  <si>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</si>
  <si>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</si>
  <si>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</si>
  <si>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</si>
  <si>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</si>
  <si>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</si>
  <si>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</si>
  <si>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</si>
  <si>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</si>
  <si>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</si>
  <si>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</si>
  <si>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</si>
  <si>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</si>
  <si>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</si>
  <si>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</si>
  <si>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</si>
  <si>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</si>
  <si>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</si>
  <si>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</si>
  <si>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</si>
  <si>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</si>
  <si>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</si>
  <si>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</si>
  <si>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</si>
  <si>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</si>
  <si>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</si>
  <si>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</si>
  <si>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</si>
  <si>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</si>
  <si>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</si>
  <si>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</si>
  <si>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</si>
  <si>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</si>
  <si>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</si>
  <si>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</si>
  <si>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</si>
  <si>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</si>
  <si>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</si>
  <si>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</si>
  <si>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</si>
  <si>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</si>
  <si>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</si>
  <si>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</si>
  <si>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</si>
  <si>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</si>
  <si>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</si>
  <si>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</si>
  <si>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</si>
  <si>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</si>
  <si>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</si>
  <si>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</si>
  <si>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</si>
  <si>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</si>
  <si>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</si>
  <si>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</si>
  <si>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</si>
  <si>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</si>
  <si>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</si>
  <si>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</si>
  <si>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</si>
  <si>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</si>
  <si>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</si>
  <si>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</si>
  <si>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</si>
  <si>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</si>
  <si>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</si>
  <si>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</si>
  <si>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</si>
  <si>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</si>
  <si>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</si>
  <si>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</si>
  <si>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</si>
  <si>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</si>
  <si>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</si>
  <si>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</si>
  <si>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</si>
  <si>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</si>
  <si>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</si>
  <si>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</si>
  <si>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</si>
  <si>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</si>
  <si>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</si>
  <si>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</si>
  <si>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</si>
  <si>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</si>
  <si>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</si>
  <si>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</si>
  <si>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</si>
  <si>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</si>
  <si>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</si>
  <si>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</si>
  <si>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</si>
  <si>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</si>
  <si>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</si>
  <si>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</si>
  <si>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</si>
  <si>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</si>
  <si>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</si>
  <si>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</si>
  <si>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</si>
  <si>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</si>
  <si>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</si>
  <si>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</si>
  <si>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</si>
  <si>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</si>
  <si>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</si>
  <si>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</si>
  <si>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</si>
  <si>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</si>
  <si>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</si>
  <si>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</si>
  <si>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</si>
  <si>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</si>
  <si>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</si>
  <si>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</si>
  <si>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</si>
  <si>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</si>
  <si>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</si>
  <si>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</si>
  <si>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</si>
  <si>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</si>
  <si>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</si>
  <si>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</si>
  <si>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</si>
  <si>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</si>
  <si>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</si>
  <si>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</si>
  <si>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</si>
  <si>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</si>
  <si>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</si>
  <si>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</si>
  <si>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</si>
  <si>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</si>
  <si>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</si>
  <si>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</si>
  <si>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</si>
  <si>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</si>
  <si>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</si>
  <si>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</si>
  <si>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</si>
  <si>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</si>
  <si>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</si>
  <si>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</si>
  <si>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</si>
  <si>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</si>
  <si>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</si>
  <si>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</si>
  <si>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</si>
  <si>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</si>
  <si>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</si>
  <si>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</si>
  <si>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</si>
  <si>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</si>
  <si>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</si>
  <si>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</si>
  <si>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</si>
  <si>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</si>
  <si>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</si>
  <si>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</si>
  <si>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</si>
  <si>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</si>
  <si>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</si>
  <si>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</si>
  <si>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</si>
  <si>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</si>
  <si>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</si>
  <si>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</si>
  <si>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</si>
  <si>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</si>
  <si>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</si>
  <si>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</si>
  <si>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</si>
  <si>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</si>
  <si>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</si>
  <si>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</si>
  <si>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</si>
  <si>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</si>
  <si>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</si>
  <si>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</si>
  <si>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</si>
  <si>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</si>
  <si>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</si>
  <si>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</si>
  <si>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</si>
  <si>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</si>
  <si>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</si>
  <si>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</si>
  <si>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</si>
  <si>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</si>
  <si>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</si>
  <si>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</si>
  <si>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</si>
  <si>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</si>
  <si>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</si>
  <si>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</si>
  <si>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</si>
  <si>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</si>
  <si>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</si>
  <si>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</si>
  <si>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</si>
  <si>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</si>
  <si>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</si>
  <si>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</si>
  <si>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</si>
  <si>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</si>
  <si>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</si>
  <si>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</si>
  <si>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</si>
  <si>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</si>
  <si>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</si>
  <si>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</si>
  <si>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</si>
  <si>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</si>
  <si>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</si>
  <si>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</si>
  <si>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</si>
  <si>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</si>
  <si>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</si>
  <si>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</si>
  <si>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</si>
  <si>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</si>
  <si>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</si>
  <si>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</si>
  <si>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</si>
  <si>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</si>
  <si>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</si>
  <si>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</si>
  <si>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</si>
  <si>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</si>
  <si>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</si>
  <si>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</si>
  <si>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</si>
  <si>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</si>
  <si>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</si>
  <si>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</si>
  <si>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</si>
  <si>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</si>
  <si>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</si>
  <si>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</si>
  <si>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</si>
  <si>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</si>
  <si>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</si>
  <si>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</si>
  <si>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</si>
  <si>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</si>
  <si>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</si>
  <si>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</si>
  <si>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</si>
  <si>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</si>
  <si>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</si>
  <si>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</si>
  <si>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</si>
  <si>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</si>
  <si>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</si>
  <si>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</si>
  <si>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</si>
  <si>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</si>
  <si>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</si>
  <si>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</si>
  <si>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</si>
  <si>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</si>
  <si>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</si>
  <si>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</si>
  <si>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</si>
  <si>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</si>
  <si>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</si>
  <si>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</si>
  <si>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</si>
  <si>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</si>
  <si>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</si>
  <si>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</si>
  <si>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</si>
  <si>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</si>
  <si>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</si>
  <si>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</si>
  <si>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</si>
  <si>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</si>
  <si>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</si>
  <si>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</si>
  <si>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</si>
  <si>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</si>
  <si>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</si>
  <si>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</si>
  <si>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</si>
  <si>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</si>
  <si>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</si>
  <si>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</si>
  <si>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</si>
  <si>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</si>
  <si>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</si>
  <si>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</si>
  <si>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</si>
  <si>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</si>
  <si>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</si>
  <si>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</si>
  <si>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</si>
  <si>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</si>
  <si>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</si>
  <si>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</si>
  <si>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</si>
  <si>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</si>
  <si>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</si>
  <si>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</si>
  <si>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</si>
  <si>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</si>
  <si>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</si>
  <si>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</si>
  <si>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</si>
  <si>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</si>
  <si>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</si>
  <si>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</si>
  <si>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</si>
  <si>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</si>
  <si>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</si>
  <si>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</si>
  <si>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</si>
  <si>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</si>
  <si>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</si>
  <si>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</si>
  <si>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</si>
  <si>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</si>
  <si>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</si>
  <si>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</si>
  <si>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</si>
  <si>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</si>
  <si>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</si>
  <si>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</si>
  <si>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</si>
  <si>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</si>
  <si>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</si>
  <si>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</si>
  <si>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</si>
  <si>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</si>
  <si>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</si>
  <si>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</si>
  <si>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</si>
  <si>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</si>
  <si>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</si>
  <si>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</si>
  <si>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</si>
  <si>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</si>
  <si>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</si>
  <si>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</si>
  <si>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</si>
  <si>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</si>
  <si>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</si>
  <si>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</si>
  <si>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</si>
  <si>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</si>
  <si>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</si>
  <si>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</si>
  <si>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</si>
  <si>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</si>
  <si>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</si>
  <si>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</si>
  <si>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</si>
  <si>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</si>
  <si>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</si>
  <si>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</si>
  <si>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</si>
  <si>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</si>
  <si>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</si>
  <si>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</si>
  <si>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</si>
  <si>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</si>
  <si>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</si>
  <si>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</si>
  <si>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</si>
  <si>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</si>
  <si>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</si>
  <si>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</si>
  <si>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</si>
  <si>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</si>
  <si>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</si>
  <si>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</si>
  <si>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</si>
  <si>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</si>
  <si>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</si>
  <si>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</si>
  <si>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</si>
  <si>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</si>
  <si>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</si>
  <si>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</si>
  <si>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</si>
  <si>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</si>
  <si>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</si>
  <si>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</si>
  <si>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</si>
  <si>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</si>
  <si>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</si>
  <si>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</si>
  <si>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</si>
  <si>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</si>
  <si>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</si>
  <si>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</si>
  <si>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</si>
  <si>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</si>
  <si>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</si>
  <si>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</si>
  <si>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</si>
  <si>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</si>
  <si>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</si>
  <si>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</si>
  <si>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</si>
  <si>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</si>
  <si>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</si>
  <si>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</si>
  <si>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</si>
  <si>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</si>
  <si>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</si>
  <si>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</si>
  <si>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</si>
  <si>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</si>
  <si>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</si>
  <si>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</si>
  <si>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</si>
  <si>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</si>
  <si>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</si>
  <si>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</si>
  <si>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</si>
  <si>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</si>
  <si>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</si>
  <si>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</si>
  <si>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</si>
  <si>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</si>
  <si>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</si>
  <si>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</si>
  <si>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</si>
  <si>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</si>
  <si>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</si>
  <si>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</si>
  <si>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</si>
  <si>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</si>
  <si>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</si>
  <si>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</si>
  <si>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</si>
  <si>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</si>
  <si>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</si>
  <si>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</si>
  <si>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</si>
  <si>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</si>
  <si>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</si>
  <si>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</si>
  <si>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</si>
  <si>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</si>
  <si>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</si>
  <si>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</si>
  <si>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</si>
  <si>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</si>
  <si>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</si>
  <si>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</si>
  <si>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</si>
  <si>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</si>
  <si>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</si>
  <si>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</si>
  <si>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</si>
  <si>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</si>
  <si>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</si>
  <si>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</si>
  <si>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</si>
  <si>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</si>
  <si>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</si>
  <si>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</si>
  <si>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</si>
  <si>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</si>
  <si>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</si>
  <si>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</si>
  <si>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</si>
  <si>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</si>
  <si>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</si>
  <si>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</si>
  <si>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</si>
  <si>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</si>
  <si>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</si>
  <si>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</si>
  <si>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</si>
  <si>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</si>
  <si>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</si>
  <si>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</si>
  <si>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</si>
  <si>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</si>
  <si>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</si>
  <si>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</si>
  <si>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</si>
  <si>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</si>
  <si>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</si>
  <si>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</si>
  <si>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</si>
  <si>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</si>
  <si>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</si>
  <si>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</si>
  <si>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</si>
  <si>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</si>
  <si>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</si>
  <si>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</si>
  <si>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</si>
  <si>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</si>
  <si>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</si>
  <si>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</si>
  <si>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</si>
  <si>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</si>
  <si>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</si>
  <si>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</si>
  <si>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</si>
  <si>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</si>
  <si>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</si>
  <si>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</si>
  <si>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</si>
  <si>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</si>
  <si>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</si>
  <si>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</si>
  <si>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</si>
  <si>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</si>
  <si>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</si>
  <si>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</si>
  <si>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</si>
  <si>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</si>
  <si>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</si>
  <si>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</si>
  <si>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</si>
  <si>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</si>
  <si>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</si>
  <si>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</si>
  <si>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</si>
  <si>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</si>
  <si>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</si>
  <si>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</si>
  <si>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</si>
  <si>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</si>
  <si>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</si>
  <si>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</si>
  <si>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</si>
  <si>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</si>
  <si>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</si>
  <si>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</si>
  <si>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</si>
  <si>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</si>
  <si>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</si>
  <si>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</si>
  <si>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</si>
  <si>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</si>
  <si>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</si>
  <si>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</si>
  <si>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</si>
  <si>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</si>
  <si>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</si>
  <si>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</si>
  <si>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</si>
  <si>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</si>
  <si>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</si>
  <si>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</si>
  <si>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</si>
  <si>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</si>
  <si>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</si>
  <si>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</si>
  <si>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</si>
  <si>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</si>
  <si>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</si>
  <si>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</si>
  <si>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</si>
  <si>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</si>
  <si>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</si>
  <si>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</si>
  <si>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</si>
  <si>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</si>
  <si>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</si>
  <si>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</si>
  <si>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</si>
  <si>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</si>
  <si>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</si>
  <si>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</si>
  <si>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</si>
  <si>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</si>
  <si>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</si>
  <si>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</si>
  <si>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</si>
  <si>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</si>
  <si>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</si>
  <si>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</si>
  <si>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</si>
  <si>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</si>
  <si>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</si>
  <si>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</si>
  <si>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</si>
  <si>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</si>
  <si>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</si>
  <si>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</si>
  <si>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</si>
  <si>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</si>
  <si>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</si>
  <si>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</si>
  <si>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</si>
  <si>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</si>
  <si>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</si>
  <si>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</si>
  <si>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</si>
  <si>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</si>
  <si>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</si>
  <si>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</si>
  <si>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</si>
  <si>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</si>
  <si>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</si>
  <si>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</si>
  <si>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</si>
  <si>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</si>
  <si>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</si>
  <si>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</si>
  <si>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</si>
  <si>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</si>
  <si>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</si>
  <si>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</si>
  <si>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</si>
  <si>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</si>
  <si>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</si>
  <si>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</si>
  <si>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</si>
  <si>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</si>
  <si>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</si>
  <si>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</si>
  <si>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</si>
  <si>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</si>
  <si>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</si>
  <si>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</si>
  <si>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</si>
  <si>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</si>
  <si>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</si>
  <si>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</si>
  <si>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</si>
  <si>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</si>
  <si>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</si>
  <si>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</si>
  <si>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</si>
  <si>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</si>
  <si>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</si>
  <si>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</si>
  <si>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</si>
  <si>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</si>
  <si>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</si>
  <si>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</si>
  <si>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</si>
  <si>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</si>
  <si>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</si>
  <si>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</si>
  <si>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</si>
  <si>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</si>
  <si>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</si>
  <si>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</si>
  <si>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</si>
  <si>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</si>
  <si>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</si>
  <si>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</si>
  <si>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</si>
  <si>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</si>
  <si>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</si>
  <si>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</si>
  <si>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</si>
  <si>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</si>
  <si>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</si>
  <si>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</si>
  <si>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</si>
  <si>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</si>
  <si>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</si>
  <si>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</si>
  <si>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</si>
  <si>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</si>
  <si>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</si>
  <si>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</si>
  <si>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</si>
  <si>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</si>
  <si>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</si>
  <si>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</si>
  <si>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</si>
  <si>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</si>
  <si>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</si>
  <si>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</si>
  <si>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</si>
  <si>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</si>
  <si>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</si>
  <si>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</si>
  <si>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</si>
  <si>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</si>
  <si>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</si>
  <si>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</si>
  <si>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</si>
  <si>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</si>
  <si>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</si>
  <si>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</si>
  <si>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</si>
  <si>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</si>
  <si>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</si>
  <si>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</si>
  <si>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</si>
  <si>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</si>
  <si>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</si>
  <si>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</si>
  <si>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</si>
  <si>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</si>
  <si>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</si>
  <si>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</si>
  <si>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</si>
  <si>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</si>
  <si>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</si>
  <si>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</si>
  <si>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</si>
  <si>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</si>
  <si>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</si>
  <si>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</si>
  <si>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</si>
  <si>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</si>
  <si>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</si>
  <si>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</si>
  <si>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</si>
  <si>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</si>
  <si>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</si>
  <si>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</si>
  <si>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</si>
  <si>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</si>
  <si>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</si>
  <si>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</si>
  <si>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</si>
  <si>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</si>
  <si>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</si>
  <si>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</si>
  <si>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</si>
  <si>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</si>
  <si>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</si>
  <si>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</si>
  <si>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</si>
  <si>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</si>
  <si>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</si>
  <si>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</si>
  <si>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</si>
  <si>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</si>
  <si>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</si>
  <si>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</si>
  <si>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</si>
  <si>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</si>
  <si>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</si>
  <si>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</si>
  <si>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</si>
  <si>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</si>
  <si>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</si>
  <si>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</si>
  <si>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</si>
  <si>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</si>
  <si>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</si>
  <si>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</si>
  <si>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</si>
  <si>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</si>
  <si>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</si>
  <si>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</si>
  <si>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</si>
  <si>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</si>
  <si>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</si>
  <si>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</si>
  <si>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</si>
  <si>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</si>
  <si>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</si>
  <si>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</si>
  <si>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</si>
  <si>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</si>
  <si>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</si>
  <si>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</si>
  <si>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</si>
  <si>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</si>
  <si>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</si>
  <si>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</si>
  <si>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</si>
  <si>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</si>
  <si>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</si>
  <si>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</si>
  <si>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</si>
  <si>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</si>
  <si>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</si>
  <si>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</si>
  <si>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</si>
  <si>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</si>
  <si>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</si>
  <si>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</si>
  <si>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</si>
  <si>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</si>
  <si>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</si>
  <si>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</si>
  <si>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</si>
  <si>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</si>
  <si>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</si>
  <si>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</si>
  <si>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</si>
  <si>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</si>
  <si>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</si>
  <si>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</si>
  <si>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</si>
  <si>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</si>
  <si>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</si>
  <si>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</si>
  <si>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</si>
  <si>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</si>
  <si>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</si>
  <si>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</si>
  <si>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</si>
  <si>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</si>
  <si>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</si>
  <si>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</si>
  <si>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</si>
  <si>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</si>
  <si>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</si>
  <si>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</si>
  <si>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</si>
  <si>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</si>
  <si>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</si>
  <si>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</si>
  <si>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</si>
  <si>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</si>
  <si>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</si>
  <si>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</si>
  <si>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</si>
  <si>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</si>
  <si>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</si>
  <si>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</si>
  <si>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</si>
  <si>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</si>
  <si>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</si>
  <si>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</si>
  <si>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</si>
  <si>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</si>
  <si>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</si>
  <si>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</si>
  <si>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</si>
  <si>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</si>
  <si>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</si>
  <si>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</si>
  <si>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</si>
  <si>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</si>
  <si>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</si>
  <si>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</si>
  <si>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</si>
  <si>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</si>
  <si>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</si>
  <si>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</si>
  <si>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</si>
  <si>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</si>
  <si>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</si>
  <si>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</si>
  <si>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</si>
  <si>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</si>
  <si>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</si>
  <si>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</si>
  <si>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</si>
  <si>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</si>
  <si>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</si>
  <si>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</si>
  <si>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</si>
  <si>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</si>
  <si>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</si>
  <si>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</si>
  <si>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</si>
  <si>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</si>
  <si>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</si>
  <si>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</si>
  <si>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</si>
  <si>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</si>
  <si>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</si>
  <si>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</si>
  <si>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</si>
  <si>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</si>
  <si>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</si>
  <si>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</si>
  <si>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</si>
  <si>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</si>
  <si>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</si>
  <si>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</si>
  <si>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</si>
  <si>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</si>
  <si>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</si>
  <si>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</si>
  <si>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</si>
  <si>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</si>
  <si>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</si>
  <si>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</si>
  <si>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</si>
  <si>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</si>
  <si>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</si>
  <si>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</si>
  <si>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</si>
  <si>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</si>
  <si>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</si>
  <si>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</si>
  <si>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</si>
  <si>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</si>
  <si>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</si>
  <si>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</si>
  <si>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</si>
  <si>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</si>
  <si>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</si>
  <si>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</si>
  <si>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</si>
  <si>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</si>
  <si>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</si>
  <si>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</si>
  <si>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</si>
  <si>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</si>
  <si>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</si>
  <si>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</si>
  <si>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</si>
  <si>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</si>
  <si>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</si>
  <si>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</si>
  <si>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</si>
  <si>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</si>
  <si>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</si>
  <si>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</si>
  <si>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</si>
  <si>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</si>
  <si>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</si>
  <si>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</si>
  <si>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</si>
  <si>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</si>
  <si>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</si>
  <si>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</si>
  <si>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</si>
  <si>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</si>
  <si>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</si>
  <si>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</si>
  <si>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</si>
  <si>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</si>
  <si>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</si>
  <si>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</si>
  <si>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</si>
  <si>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</si>
  <si>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</si>
  <si>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</si>
  <si>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</si>
  <si>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</si>
  <si>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</si>
  <si>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</si>
  <si>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</si>
  <si>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</si>
  <si>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</si>
  <si>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</si>
  <si>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</si>
  <si>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</si>
  <si>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</si>
  <si>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</si>
  <si>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</si>
  <si>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</si>
  <si>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</si>
  <si>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</si>
  <si>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</si>
  <si>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</si>
  <si>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</si>
  <si>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</si>
  <si>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</si>
  <si>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</si>
  <si>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</si>
  <si>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</si>
  <si>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</si>
  <si>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</si>
  <si>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</si>
  <si>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</si>
  <si>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</si>
  <si>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</si>
  <si>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</si>
  <si>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</si>
  <si>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</si>
  <si>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</si>
  <si>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</si>
  <si>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</si>
  <si>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</si>
  <si>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</si>
  <si>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</si>
  <si>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</si>
  <si>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</si>
  <si>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</si>
  <si>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</si>
  <si>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</si>
  <si>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</si>
  <si>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</si>
  <si>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</si>
  <si>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</si>
  <si>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</si>
  <si>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</si>
  <si>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</si>
  <si>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</si>
  <si>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</si>
  <si>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</si>
  <si>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</si>
  <si>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</si>
  <si>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</si>
  <si>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</si>
  <si>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</si>
  <si>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</si>
  <si>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</si>
  <si>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</si>
  <si>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</si>
  <si>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</si>
  <si>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</si>
  <si>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</si>
  <si>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</si>
  <si>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</si>
  <si>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</si>
  <si>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</si>
  <si>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</si>
  <si>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</si>
  <si>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</si>
  <si>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</si>
  <si>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</si>
  <si>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</si>
  <si>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</si>
  <si>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</si>
  <si>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</si>
  <si>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</si>
  <si>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</si>
  <si>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</si>
  <si>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</si>
  <si>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</si>
  <si>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</si>
  <si>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</si>
  <si>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</si>
  <si>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</si>
  <si>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</si>
  <si>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</si>
  <si>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</si>
  <si>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</si>
  <si>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</si>
  <si>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</si>
  <si>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</si>
  <si>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</si>
  <si>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</si>
  <si>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</si>
  <si>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</si>
  <si>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</si>
  <si>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</si>
  <si>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</si>
  <si>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</si>
  <si>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</si>
  <si>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</si>
  <si>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</si>
  <si>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</si>
  <si>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</si>
  <si>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</si>
  <si>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</si>
  <si>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</si>
  <si>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</si>
  <si>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</si>
  <si>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</si>
  <si>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</si>
  <si>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</si>
  <si>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</si>
  <si>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</si>
  <si>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</si>
  <si>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</si>
  <si>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</si>
  <si>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</si>
  <si>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</si>
  <si>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</si>
  <si>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</si>
  <si>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</si>
  <si>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</si>
  <si>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</si>
  <si>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</si>
  <si>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</si>
  <si>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</si>
  <si>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</si>
  <si>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</si>
  <si>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</si>
  <si>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</si>
  <si>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</si>
  <si>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</si>
  <si>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</si>
  <si>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</si>
  <si>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</si>
  <si>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</si>
  <si>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</si>
  <si>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</si>
  <si>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</si>
  <si>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</si>
  <si>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</si>
  <si>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</si>
  <si>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</si>
  <si>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</si>
  <si>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</si>
  <si>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</si>
  <si>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</si>
  <si>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</si>
  <si>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</si>
  <si>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</si>
  <si>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</si>
  <si>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</si>
  <si>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</si>
  <si>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</si>
  <si>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</si>
  <si>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</si>
  <si>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</si>
  <si>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</si>
  <si>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</si>
  <si>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</si>
  <si>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</si>
  <si>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</si>
  <si>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</si>
  <si>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</si>
  <si>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</si>
  <si>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</si>
  <si>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</si>
  <si>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</si>
  <si>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</si>
  <si>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</si>
  <si>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</si>
  <si>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</si>
  <si>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</si>
  <si>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</si>
  <si>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</si>
  <si>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</si>
  <si>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</si>
  <si>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</si>
  <si>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</si>
  <si>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</si>
  <si>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</si>
  <si>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</si>
  <si>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</si>
  <si>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</si>
  <si>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</si>
  <si>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</si>
  <si>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</si>
  <si>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</si>
  <si>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</si>
  <si>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</si>
  <si>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</si>
  <si>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</si>
  <si>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</si>
  <si>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</si>
  <si>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</si>
  <si>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</si>
  <si>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</si>
  <si>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</si>
  <si>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</si>
  <si>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</si>
  <si>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</si>
  <si>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</si>
  <si>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</si>
  <si>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</si>
  <si>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</si>
  <si>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</si>
  <si>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</si>
  <si>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</si>
  <si>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</si>
  <si>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</si>
  <si>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</si>
  <si>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</si>
  <si>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</si>
  <si>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</si>
  <si>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</si>
  <si>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</si>
  <si>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</si>
  <si>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</si>
  <si>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</si>
  <si>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</si>
  <si>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</si>
  <si>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</si>
  <si>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</si>
  <si>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</si>
  <si>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</si>
  <si>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</si>
  <si>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</si>
  <si>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</si>
  <si>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</si>
  <si>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</si>
  <si>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</si>
  <si>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</si>
  <si>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</si>
  <si>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</si>
  <si>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</si>
  <si>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</si>
  <si>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</si>
  <si>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</si>
  <si>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</si>
  <si>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</si>
  <si>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</si>
  <si>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</si>
  <si>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</si>
  <si>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</si>
  <si>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</si>
  <si>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</si>
  <si>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</si>
  <si>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</si>
  <si>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</si>
  <si>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</si>
  <si>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</si>
  <si>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</si>
  <si>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</si>
  <si>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</si>
  <si>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</si>
  <si>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</si>
  <si>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</si>
  <si>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</si>
  <si>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</si>
  <si>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</si>
  <si>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</si>
  <si>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</si>
  <si>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</si>
  <si>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</si>
  <si>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</si>
  <si>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</si>
  <si>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</si>
  <si>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</si>
  <si>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</si>
  <si>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</si>
  <si>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</si>
  <si>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</si>
  <si>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</si>
  <si>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</si>
  <si>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</si>
  <si>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</si>
  <si>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</si>
  <si>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</si>
  <si>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</si>
  <si>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</si>
  <si>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</si>
  <si>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</si>
  <si>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</si>
  <si>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</si>
  <si>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</si>
  <si>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</si>
  <si>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</si>
  <si>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</si>
  <si>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</si>
  <si>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</si>
  <si>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</si>
  <si>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</si>
  <si>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</si>
  <si>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</si>
  <si>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</si>
  <si>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</si>
  <si>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</si>
  <si>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</si>
  <si>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</si>
  <si>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</si>
  <si>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</si>
  <si>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</si>
  <si>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</si>
  <si>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</si>
  <si>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</si>
  <si>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</si>
  <si>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</si>
  <si>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</si>
  <si>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</si>
  <si>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</si>
  <si>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</si>
  <si>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</si>
  <si>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</si>
  <si>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</si>
  <si>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</si>
  <si>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</si>
  <si>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</si>
  <si>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</si>
  <si>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</si>
  <si>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</si>
  <si>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</si>
  <si>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</si>
  <si>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</si>
  <si>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</si>
  <si>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</si>
  <si>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</si>
  <si>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</si>
  <si>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</si>
  <si>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</si>
  <si>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</si>
  <si>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</si>
  <si>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</si>
  <si>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</si>
  <si>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</si>
  <si>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</si>
  <si>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</si>
  <si>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</si>
  <si>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</si>
  <si>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</si>
  <si>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</si>
  <si>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</si>
  <si>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</si>
  <si>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</si>
  <si>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</si>
  <si>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</si>
  <si>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</si>
  <si>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</si>
  <si>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</si>
  <si>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</si>
  <si>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</si>
  <si>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</si>
  <si>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</si>
  <si>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</si>
  <si>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</si>
  <si>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</si>
  <si>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</si>
  <si>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</si>
  <si>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</si>
  <si>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</si>
  <si>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</si>
  <si>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</si>
  <si>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</si>
  <si>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</si>
  <si>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</si>
  <si>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</si>
  <si>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</si>
  <si>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</si>
  <si>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</si>
  <si>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</si>
  <si>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</si>
  <si>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</si>
  <si>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</si>
  <si>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</si>
  <si>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</si>
  <si>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</si>
  <si>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</si>
  <si>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</si>
  <si>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</si>
  <si>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</si>
  <si>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</si>
  <si>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</si>
  <si>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</si>
  <si>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</si>
  <si>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</si>
  <si>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</si>
  <si>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</si>
  <si>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</si>
  <si>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</si>
  <si>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</si>
  <si>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</si>
  <si>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</si>
  <si>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</si>
  <si>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</si>
  <si>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</si>
  <si>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</si>
  <si>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</si>
  <si>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</si>
  <si>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</si>
  <si>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</si>
  <si>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</si>
  <si>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</si>
  <si>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</si>
  <si>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</si>
  <si>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</si>
  <si>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</si>
  <si>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</si>
  <si>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</si>
  <si>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</si>
  <si>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</si>
  <si>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</si>
  <si>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</si>
  <si>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</si>
  <si>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</si>
  <si>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</si>
  <si>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</si>
  <si>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</si>
  <si>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</si>
  <si>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</si>
  <si>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</si>
  <si>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</si>
  <si>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</si>
  <si>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</si>
  <si>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</si>
  <si>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</si>
  <si>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</si>
  <si>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</si>
  <si>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</si>
  <si>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</si>
  <si>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</si>
  <si>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</si>
  <si>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</si>
  <si>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</si>
  <si>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</si>
  <si>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</si>
  <si>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</si>
  <si>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</si>
  <si>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</si>
  <si>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</si>
  <si>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</si>
  <si>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</si>
  <si>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</si>
  <si>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</si>
  <si>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</si>
  <si>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</si>
  <si>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</si>
  <si>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</si>
  <si>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</si>
  <si>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</si>
  <si>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</si>
  <si>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</si>
  <si>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</si>
  <si>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</si>
  <si>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</si>
  <si>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</si>
  <si>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</si>
  <si>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</si>
  <si>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</si>
  <si>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</si>
  <si>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</si>
  <si>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</si>
  <si>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</si>
  <si>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</si>
  <si>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</si>
  <si>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</si>
  <si>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</si>
  <si>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</si>
  <si>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</si>
  <si>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</si>
  <si>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</si>
  <si>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</si>
  <si>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</si>
  <si>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</si>
  <si>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</si>
  <si>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</si>
  <si>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</si>
  <si>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</si>
  <si>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</si>
  <si>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</si>
  <si>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</si>
  <si>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</si>
  <si>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</si>
  <si>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</si>
  <si>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</si>
  <si>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</si>
  <si>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</si>
  <si>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</si>
  <si>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</si>
  <si>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</si>
  <si>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</si>
  <si>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</si>
  <si>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</si>
  <si>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</si>
  <si>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</si>
  <si>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</si>
  <si>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</si>
  <si>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</si>
  <si>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</si>
  <si>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</si>
  <si>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</si>
  <si>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</si>
  <si>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</si>
  <si>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</si>
  <si>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</si>
  <si>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</si>
  <si>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</si>
  <si>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</si>
  <si>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</si>
  <si>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</si>
  <si>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</si>
  <si>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</si>
  <si>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</si>
  <si>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</si>
  <si>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</si>
  <si>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</si>
  <si>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</si>
  <si>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</si>
  <si>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</si>
  <si>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</si>
  <si>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</si>
  <si>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</si>
  <si>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</si>
  <si>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</si>
  <si>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</si>
  <si>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</si>
  <si>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</si>
  <si>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</si>
  <si>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</si>
  <si>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</si>
  <si>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</si>
  <si>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</si>
  <si>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</si>
  <si>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</si>
  <si>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</si>
  <si>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</si>
  <si>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</si>
  <si>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</si>
  <si>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</si>
  <si>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</si>
  <si>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</si>
  <si>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</si>
  <si>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</si>
  <si>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</si>
  <si>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</si>
  <si>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</si>
  <si>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</si>
  <si>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</si>
  <si>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</si>
  <si>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</si>
  <si>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</si>
  <si>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</si>
  <si>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</si>
  <si>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</si>
  <si>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</si>
  <si>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</si>
  <si>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</si>
  <si>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</si>
  <si>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</si>
  <si>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</si>
  <si>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</si>
  <si>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</si>
  <si>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</si>
  <si>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</si>
  <si>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</si>
  <si>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</si>
  <si>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</si>
  <si>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</si>
  <si>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</si>
  <si>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</si>
  <si>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</si>
  <si>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</si>
  <si>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</si>
  <si>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</si>
  <si>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</si>
  <si>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</si>
  <si>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</si>
  <si>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</si>
  <si>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</si>
  <si>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</si>
  <si>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</si>
  <si>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</si>
  <si>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</si>
  <si>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</si>
  <si>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</si>
  <si>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</si>
  <si>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</si>
  <si>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</si>
  <si>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</si>
  <si>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</si>
  <si>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</si>
  <si>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</si>
  <si>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</si>
  <si>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</si>
  <si>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</si>
  <si>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</si>
  <si>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</si>
  <si>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</si>
  <si>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</si>
  <si>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</si>
  <si>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</si>
  <si>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</si>
  <si>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</si>
  <si>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</si>
  <si>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</si>
  <si>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</si>
  <si>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</si>
  <si>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</si>
  <si>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</si>
  <si>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</si>
  <si>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</si>
  <si>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</si>
  <si>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</si>
  <si>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</si>
  <si>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</si>
  <si>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</si>
  <si>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</si>
  <si>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</si>
  <si>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</si>
  <si>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</si>
  <si>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</si>
  <si>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</si>
  <si>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</si>
  <si>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</si>
  <si>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</si>
  <si>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</si>
  <si>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</si>
  <si>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</si>
  <si>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</si>
  <si>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</si>
  <si>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</si>
  <si>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</si>
  <si>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</si>
  <si>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</si>
  <si>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</si>
  <si>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</si>
  <si>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</si>
  <si>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</si>
  <si>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</si>
  <si>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</si>
  <si>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</si>
  <si>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</si>
  <si>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</si>
  <si>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</si>
  <si>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</si>
  <si>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</si>
  <si>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</si>
  <si>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</si>
  <si>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</si>
  <si>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</si>
  <si>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</si>
  <si>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</si>
  <si>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</si>
  <si>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</si>
  <si>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</si>
  <si>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</si>
  <si>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</si>
  <si>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</si>
  <si>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</si>
  <si>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</si>
  <si>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</si>
  <si>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</si>
  <si>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</si>
  <si>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</si>
  <si>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</si>
  <si>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</si>
  <si>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</si>
  <si>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</si>
  <si>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</si>
  <si>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</si>
  <si>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</si>
  <si>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</si>
  <si>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</si>
  <si>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</si>
  <si>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</si>
  <si>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</si>
  <si>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</si>
  <si>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</si>
  <si>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</si>
  <si>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</si>
  <si>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</si>
  <si>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</si>
  <si>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</si>
  <si>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</si>
  <si>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</si>
  <si>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</si>
  <si>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</si>
  <si>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</si>
  <si>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</si>
  <si>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</si>
  <si>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</si>
  <si>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</si>
  <si>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</si>
  <si>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</si>
  <si>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</si>
  <si>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</si>
  <si>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</si>
  <si>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</si>
  <si>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</si>
  <si>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</si>
  <si>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</si>
  <si>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</si>
  <si>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</si>
  <si>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</si>
  <si>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</si>
  <si>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</si>
  <si>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</si>
  <si>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</si>
  <si>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</si>
  <si>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</si>
  <si>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</si>
  <si>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</si>
  <si>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</si>
  <si>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</si>
  <si>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</si>
  <si>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</si>
  <si>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</si>
  <si>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</si>
  <si>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</si>
  <si>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</si>
  <si>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</si>
  <si>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</si>
  <si>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</si>
  <si>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</si>
  <si>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</si>
  <si>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</si>
  <si>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</si>
  <si>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</si>
  <si>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</si>
  <si>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</si>
  <si>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</si>
  <si>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</si>
  <si>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</si>
  <si>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</si>
  <si>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</si>
  <si>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</si>
  <si>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</si>
  <si>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</si>
  <si>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</si>
  <si>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</si>
  <si>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</si>
  <si>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</si>
  <si>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</si>
  <si>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</si>
  <si>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</si>
  <si>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</si>
  <si>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</si>
  <si>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</si>
  <si>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</si>
  <si>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</si>
  <si>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</si>
  <si>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</si>
  <si>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</si>
  <si>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</si>
  <si>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</si>
  <si>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</si>
  <si>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</si>
  <si>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</si>
  <si>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</si>
  <si>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</si>
  <si>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</si>
  <si>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</si>
  <si>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</si>
  <si>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</si>
  <si>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</si>
  <si>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</si>
  <si>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</si>
  <si>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</si>
  <si>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</si>
  <si>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</si>
  <si>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</si>
  <si>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</si>
  <si>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</si>
  <si>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</si>
  <si>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</si>
  <si>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</si>
  <si>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</si>
  <si>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</si>
  <si>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</si>
  <si>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</si>
  <si>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</si>
  <si>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</si>
  <si>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</si>
  <si>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</si>
  <si>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</si>
  <si>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</si>
  <si>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</si>
  <si>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</si>
  <si>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</si>
  <si>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</si>
  <si>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</si>
  <si>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</si>
  <si>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</si>
  <si>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</si>
  <si>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</si>
  <si>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</si>
  <si>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</si>
  <si>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</si>
  <si>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</si>
  <si>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</si>
  <si>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</si>
  <si>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</si>
  <si>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</si>
  <si>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</si>
  <si>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</si>
  <si>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</si>
  <si>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</si>
  <si>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</si>
  <si>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</si>
  <si>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</si>
  <si>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</si>
  <si>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</si>
  <si>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</si>
  <si>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</si>
  <si>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</si>
  <si>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</si>
  <si>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</si>
  <si>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</si>
  <si>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</si>
  <si>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</si>
  <si>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</si>
  <si>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</si>
  <si>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</si>
  <si>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</si>
  <si>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</si>
  <si>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</si>
  <si>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</si>
  <si>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</si>
  <si>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</si>
  <si>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</si>
  <si>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</si>
  <si>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</si>
  <si>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</si>
  <si>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</si>
  <si>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</si>
  <si>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</si>
  <si>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</si>
  <si>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</si>
  <si>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</si>
  <si>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</si>
  <si>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</si>
  <si>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</si>
  <si>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</si>
  <si>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</si>
  <si>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</si>
  <si>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</si>
  <si>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</si>
  <si>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</si>
  <si>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</si>
  <si>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</si>
  <si>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</si>
  <si>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</si>
  <si>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</si>
  <si>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</si>
  <si>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</si>
  <si>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</si>
  <si>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</si>
  <si>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</si>
  <si>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</si>
  <si>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</si>
  <si>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</si>
  <si>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</si>
  <si>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</si>
  <si>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</si>
  <si>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</si>
  <si>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</si>
  <si>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</si>
  <si>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</si>
  <si>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</si>
  <si>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</si>
  <si>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</si>
  <si>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</si>
  <si>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</si>
  <si>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</si>
  <si>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</si>
  <si>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</si>
  <si>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</si>
  <si>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</si>
  <si>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</si>
  <si>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</si>
  <si>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</si>
  <si>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</si>
  <si>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</si>
  <si>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</si>
  <si>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</si>
  <si>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</si>
  <si>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</si>
  <si>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</si>
  <si>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</si>
  <si>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</si>
  <si>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</si>
  <si>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</si>
  <si>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</si>
  <si>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</si>
  <si>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</si>
  <si>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</si>
  <si>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</si>
  <si>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</si>
  <si>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</si>
  <si>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</si>
  <si>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</si>
  <si>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</si>
  <si>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</si>
  <si>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</si>
  <si>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</si>
  <si>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</si>
  <si>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</si>
  <si>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</si>
  <si>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</si>
  <si>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</si>
  <si>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</si>
  <si>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</si>
  <si>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</si>
  <si>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</si>
  <si>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</si>
  <si>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</si>
  <si>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</si>
  <si>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</si>
  <si>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</si>
  <si>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</si>
  <si>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</si>
  <si>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</si>
  <si>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</si>
  <si>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</si>
  <si>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</si>
  <si>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</si>
  <si>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</si>
  <si>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</si>
  <si>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</si>
  <si>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</si>
  <si>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</si>
  <si>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</si>
  <si>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</si>
  <si>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</si>
  <si>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</si>
  <si>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</si>
  <si>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</si>
  <si>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</si>
  <si>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</si>
  <si>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</si>
  <si>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</si>
  <si>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</si>
  <si>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</si>
  <si>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</si>
  <si>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</si>
  <si>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</si>
  <si>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</si>
  <si>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</si>
  <si>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</si>
  <si>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</si>
  <si>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</si>
  <si>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</si>
  <si>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</si>
  <si>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</si>
  <si>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</si>
  <si>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</si>
  <si>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</si>
  <si>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</si>
  <si>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</si>
  <si>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</si>
  <si>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</si>
  <si>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</si>
  <si>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</si>
  <si>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</si>
  <si>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</si>
  <si>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</si>
  <si>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</si>
  <si>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</si>
  <si>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</si>
  <si>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</si>
  <si>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</si>
  <si>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</si>
  <si>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</si>
  <si>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</si>
  <si>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</si>
  <si>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</si>
  <si>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</si>
  <si>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</si>
  <si>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</si>
  <si>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</si>
  <si>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</si>
  <si>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</si>
  <si>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</si>
  <si>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</si>
  <si>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</si>
  <si>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</si>
  <si>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</si>
  <si>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</si>
  <si>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</si>
  <si>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</si>
  <si>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</si>
  <si>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</si>
  <si>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</si>
  <si>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</si>
  <si>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</si>
  <si>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</si>
  <si>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</si>
  <si>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</si>
  <si>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</si>
  <si>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</si>
  <si>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</si>
  <si>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</si>
  <si>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</si>
  <si>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</si>
  <si>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</si>
  <si>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</si>
  <si>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</si>
  <si>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</si>
  <si>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</si>
  <si>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</si>
  <si>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</si>
  <si>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</si>
  <si>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</si>
  <si>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</si>
  <si>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</si>
  <si>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</si>
  <si>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</si>
  <si>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</si>
  <si>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</si>
  <si>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</si>
  <si>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</si>
  <si>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</si>
  <si>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</si>
  <si>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</si>
  <si>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</si>
  <si>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</si>
  <si>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</si>
  <si>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</si>
  <si>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</si>
  <si>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</si>
  <si>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</si>
  <si>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</si>
  <si>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</si>
  <si>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</si>
  <si>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</si>
  <si>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</si>
  <si>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</si>
  <si>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</si>
  <si>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</si>
  <si>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</si>
  <si>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</si>
  <si>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</si>
  <si>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</si>
  <si>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</si>
  <si>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</si>
  <si>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</si>
  <si>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</si>
  <si>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</si>
  <si>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</si>
  <si>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</si>
  <si>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</si>
  <si>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</si>
  <si>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</si>
  <si>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</si>
  <si>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</si>
  <si>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</si>
  <si>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</si>
  <si>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</si>
  <si>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</si>
  <si>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</si>
  <si>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</si>
  <si>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</si>
  <si>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</si>
  <si>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</si>
  <si>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</si>
  <si>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</si>
  <si>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</si>
  <si>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</si>
  <si>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</si>
  <si>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</si>
  <si>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</si>
  <si>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</si>
  <si>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</si>
  <si>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</si>
  <si>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</si>
  <si>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</si>
  <si>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</si>
  <si>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</si>
  <si>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</si>
  <si>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</si>
  <si>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</si>
  <si>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</si>
  <si>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</si>
  <si>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</si>
  <si>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</si>
  <si>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</si>
  <si>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</si>
  <si>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</si>
  <si>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</si>
  <si>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</si>
  <si>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</si>
  <si>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</si>
  <si>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</si>
  <si>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</si>
  <si>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</si>
  <si>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</si>
  <si>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</si>
  <si>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</si>
  <si>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</si>
  <si>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</si>
  <si>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</si>
  <si>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</si>
  <si>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</si>
  <si>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</si>
  <si>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</si>
  <si>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</si>
  <si>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</si>
  <si>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</si>
  <si>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</si>
  <si>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</si>
  <si>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</si>
  <si>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</si>
  <si>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</si>
  <si>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</si>
  <si>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</si>
  <si>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</si>
  <si>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</si>
  <si>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</si>
  <si>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</si>
  <si>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</si>
  <si>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</si>
  <si>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</si>
  <si>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</si>
  <si>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</si>
  <si>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</si>
  <si>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</si>
  <si>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</si>
  <si>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</si>
  <si>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</si>
  <si>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</si>
  <si>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</si>
  <si>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</si>
  <si>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</si>
  <si>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</si>
  <si>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</si>
  <si>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</si>
  <si>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</si>
  <si>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</si>
  <si>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</si>
  <si>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</si>
  <si>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</si>
  <si>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</si>
  <si>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</si>
  <si>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</si>
  <si>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</si>
  <si>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</si>
  <si>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</si>
  <si>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</si>
  <si>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</si>
  <si>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</si>
  <si>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</si>
  <si>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</si>
  <si>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</si>
  <si>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</si>
  <si>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</si>
  <si>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</si>
  <si>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</si>
  <si>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</si>
  <si>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</si>
  <si>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</si>
  <si>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</si>
  <si>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</si>
  <si>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</si>
  <si>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</si>
  <si>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</si>
  <si>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</si>
  <si>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</si>
  <si>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</si>
  <si>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</si>
  <si>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</si>
  <si>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</si>
  <si>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</si>
  <si>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</si>
  <si>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</si>
  <si>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</si>
  <si>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</si>
  <si>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</si>
  <si>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</si>
  <si>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</si>
  <si>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</si>
  <si>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</si>
  <si>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</si>
  <si>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</si>
  <si>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</si>
  <si>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</si>
  <si>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</si>
  <si>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</si>
  <si>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</si>
  <si>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</si>
  <si>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</si>
  <si>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</si>
  <si>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</si>
  <si>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</si>
  <si>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</si>
  <si>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</si>
  <si>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</si>
  <si>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</si>
  <si>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</si>
  <si>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</si>
  <si>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</si>
  <si>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</si>
  <si>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</si>
  <si>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</si>
  <si>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</si>
  <si>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</si>
  <si>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</si>
  <si>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</si>
  <si>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</si>
  <si>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</si>
  <si>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</si>
  <si>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</si>
  <si>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</si>
  <si>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</si>
  <si>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</si>
  <si>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</si>
  <si>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</si>
  <si>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</si>
  <si>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</si>
  <si>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</si>
  <si>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</si>
  <si>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</si>
  <si>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</si>
  <si>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</si>
  <si>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</si>
  <si>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</si>
  <si>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</si>
  <si>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</si>
  <si>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</si>
  <si>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</si>
  <si>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</si>
  <si>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</si>
  <si>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</si>
  <si>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</si>
  <si>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</si>
  <si>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</si>
  <si>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</si>
  <si>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</si>
  <si>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</si>
  <si>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</si>
  <si>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</si>
  <si>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</si>
  <si>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</si>
  <si>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</si>
  <si>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</si>
  <si>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</si>
  <si>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</si>
  <si>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</si>
  <si>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</si>
  <si>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</si>
  <si>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</si>
  <si>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</si>
  <si>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</si>
  <si>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</si>
  <si>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</si>
  <si>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</si>
  <si>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</si>
  <si>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</si>
  <si>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</si>
  <si>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</si>
  <si>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</si>
  <si>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</si>
  <si>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</si>
  <si>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</si>
  <si>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</si>
  <si>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</si>
  <si>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</si>
  <si>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</si>
  <si>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</si>
  <si>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</si>
  <si>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</si>
  <si>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</si>
  <si>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</si>
  <si>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</si>
  <si>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</si>
  <si>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</si>
  <si>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</si>
  <si>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</si>
  <si>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</si>
  <si>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</si>
  <si>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</si>
  <si>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</si>
  <si>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</si>
  <si>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</si>
  <si>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</si>
  <si>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</si>
  <si>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</si>
  <si>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</si>
  <si>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</si>
  <si>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</si>
  <si>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</si>
  <si>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</si>
  <si>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</si>
  <si>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</si>
  <si>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</si>
  <si>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</si>
  <si>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</si>
  <si>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</si>
  <si>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</si>
  <si>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</si>
  <si>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</si>
  <si>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</si>
  <si>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</si>
  <si>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</si>
  <si>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</si>
  <si>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</si>
  <si>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</si>
  <si>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</si>
  <si>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</si>
  <si>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</si>
  <si>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</si>
  <si>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</si>
  <si>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</si>
  <si>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</si>
  <si>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</si>
  <si>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</si>
  <si>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</si>
  <si>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</si>
  <si>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</si>
  <si>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</si>
  <si>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</si>
  <si>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</si>
  <si>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</si>
  <si>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</si>
  <si>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</si>
  <si>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</si>
  <si>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</si>
  <si>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</si>
  <si>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</si>
  <si>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</si>
  <si>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</si>
  <si>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</si>
  <si>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</si>
  <si>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</si>
  <si>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</si>
  <si>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</si>
  <si>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</si>
  <si>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</si>
  <si>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</si>
  <si>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</si>
  <si>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</si>
  <si>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</si>
  <si>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</si>
  <si>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</si>
  <si>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</si>
  <si>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</si>
  <si>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</si>
  <si>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</si>
  <si>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</si>
  <si>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</si>
  <si>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</si>
  <si>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</si>
  <si>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</si>
  <si>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</si>
  <si>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</si>
  <si>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</si>
  <si>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</si>
  <si>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</si>
  <si>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</si>
  <si>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</si>
  <si>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</si>
  <si>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</si>
  <si>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</si>
  <si>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</si>
  <si>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</si>
  <si>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</si>
  <si>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</si>
  <si>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</si>
  <si>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</si>
  <si>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</si>
  <si>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</si>
  <si>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</si>
  <si>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</si>
  <si>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</si>
  <si>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</si>
  <si>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</si>
  <si>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</si>
  <si>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</si>
  <si>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</si>
  <si>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</si>
  <si>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</si>
  <si>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</si>
  <si>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</si>
  <si>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</si>
  <si>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</si>
  <si>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</si>
  <si>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</si>
  <si>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</si>
  <si>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</si>
  <si>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</si>
  <si>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</si>
  <si>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</si>
  <si>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</si>
  <si>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</si>
  <si>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</si>
  <si>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</si>
  <si>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</si>
  <si>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</si>
  <si>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</si>
  <si>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</si>
  <si>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</si>
  <si>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</si>
  <si>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</si>
  <si>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</si>
  <si>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</si>
  <si>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</si>
  <si>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</si>
  <si>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</si>
  <si>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</si>
  <si>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</si>
  <si>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</si>
  <si>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</si>
  <si>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</si>
  <si>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</si>
  <si>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</si>
  <si>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</si>
  <si>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</si>
  <si>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</si>
  <si>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</si>
  <si>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</si>
  <si>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</si>
  <si>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</si>
  <si>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</si>
  <si>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</si>
  <si>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</si>
  <si>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</si>
  <si>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</si>
  <si>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</si>
  <si>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</si>
  <si>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</si>
  <si>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</si>
  <si>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</si>
  <si>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</si>
  <si>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</si>
  <si>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</si>
  <si>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</si>
  <si>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</si>
  <si>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</si>
  <si>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</si>
  <si>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</si>
  <si>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</si>
  <si>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</si>
  <si>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</si>
  <si>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</si>
  <si>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</si>
  <si>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</si>
  <si>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</si>
  <si>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</si>
  <si>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</si>
  <si>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</si>
  <si>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</si>
  <si>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</si>
  <si>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</si>
  <si>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</si>
  <si>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</si>
  <si>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</si>
  <si>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</si>
  <si>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</si>
  <si>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</si>
  <si>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</si>
  <si>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</si>
  <si>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</si>
  <si>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</si>
  <si>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</si>
  <si>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</si>
  <si>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</si>
  <si>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</si>
  <si>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</si>
  <si>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</si>
  <si>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</si>
  <si>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</si>
  <si>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</si>
  <si>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</si>
  <si>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</si>
  <si>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</si>
  <si>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</si>
  <si>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</si>
  <si>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</si>
  <si>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</si>
  <si>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</si>
  <si>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</si>
  <si>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</si>
  <si>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</si>
  <si>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</si>
  <si>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</si>
  <si>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</si>
  <si>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</si>
  <si>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</si>
  <si>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</si>
  <si>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</si>
  <si>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</si>
  <si>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</si>
  <si>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</si>
  <si>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</si>
  <si>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</si>
  <si>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</si>
  <si>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</si>
  <si>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</si>
  <si>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</si>
  <si>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</si>
  <si>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</si>
  <si>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</si>
  <si>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</si>
  <si>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</si>
  <si>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</si>
  <si>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</si>
  <si>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</si>
  <si>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</si>
  <si>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</si>
  <si>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</si>
  <si>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</si>
  <si>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</si>
  <si>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</si>
  <si>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</si>
  <si>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</si>
  <si>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</si>
  <si>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</si>
  <si>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</si>
  <si>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</si>
  <si>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</si>
  <si>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</si>
  <si>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</si>
  <si>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</si>
  <si>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</si>
  <si>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</si>
  <si>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</si>
  <si>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</si>
  <si>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</si>
  <si>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</si>
  <si>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</si>
  <si>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</si>
  <si>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</si>
  <si>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</si>
  <si>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</si>
  <si>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</si>
  <si>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</si>
  <si>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</si>
  <si>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</si>
  <si>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</si>
  <si>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</si>
  <si>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</si>
  <si>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</si>
  <si>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</si>
  <si>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</si>
  <si>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</si>
  <si>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</si>
  <si>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</si>
  <si>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</si>
  <si>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</si>
  <si>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</si>
  <si>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</si>
  <si>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</si>
  <si>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</si>
  <si>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</si>
  <si>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</si>
  <si>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</si>
  <si>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</si>
  <si>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</si>
  <si>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</si>
  <si>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</si>
  <si>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</si>
  <si>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</si>
  <si>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</si>
  <si>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</si>
  <si>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</si>
  <si>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</si>
  <si>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</si>
  <si>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</si>
  <si>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</si>
  <si>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</si>
  <si>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</si>
  <si>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</si>
  <si>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</si>
  <si>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</si>
  <si>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</si>
  <si>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</si>
  <si>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</si>
  <si>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</si>
  <si>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</si>
  <si>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</si>
  <si>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</si>
  <si>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</si>
  <si>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</si>
  <si>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</si>
  <si>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</si>
  <si>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</si>
  <si>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</si>
  <si>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</si>
  <si>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</si>
  <si>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</si>
  <si>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</si>
  <si>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</si>
  <si>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</si>
  <si>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</si>
  <si>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</si>
  <si>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</si>
  <si>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</si>
  <si>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</si>
  <si>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</si>
  <si>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</si>
  <si>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</si>
  <si>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</si>
  <si>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</si>
  <si>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</si>
  <si>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</si>
  <si>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</si>
  <si>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</si>
  <si>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</si>
  <si>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</si>
  <si>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</si>
  <si>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</si>
  <si>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</si>
  <si>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</si>
  <si>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</si>
  <si>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</si>
  <si>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</si>
  <si>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</si>
  <si>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</si>
  <si>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</si>
  <si>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</si>
  <si>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</si>
  <si>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</si>
  <si>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</si>
  <si>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</si>
  <si>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</si>
  <si>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</si>
  <si>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</si>
  <si>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</si>
  <si>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</si>
  <si>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</si>
  <si>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</si>
  <si>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</si>
  <si>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</si>
  <si>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</si>
  <si>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</si>
  <si>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</si>
  <si>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</si>
  <si>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</si>
  <si>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</si>
  <si>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</si>
  <si>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</si>
  <si>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</si>
  <si>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</si>
  <si>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</si>
  <si>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</si>
  <si>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</si>
  <si>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</si>
  <si>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</si>
  <si>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</si>
  <si>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</si>
  <si>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</si>
  <si>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</si>
  <si>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</si>
  <si>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</si>
  <si>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</si>
  <si>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</si>
  <si>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</si>
  <si>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</si>
  <si>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</si>
  <si>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</si>
  <si>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</si>
  <si>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</si>
  <si>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</si>
  <si>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</si>
  <si>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</si>
  <si>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</si>
  <si>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</si>
  <si>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</si>
  <si>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</si>
  <si>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</si>
  <si>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</si>
  <si>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</si>
  <si>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</si>
  <si>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</si>
  <si>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</si>
  <si>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</si>
  <si>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</si>
  <si>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</si>
  <si>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</si>
  <si>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</si>
  <si>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</si>
  <si>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</si>
  <si>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</si>
  <si>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</si>
  <si>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</si>
  <si>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</si>
  <si>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</si>
  <si>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</si>
  <si>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</si>
  <si>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</si>
  <si>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</si>
  <si>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</si>
  <si>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</si>
  <si>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</si>
  <si>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</si>
  <si>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</si>
  <si>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</si>
  <si>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</si>
  <si>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</si>
  <si>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</si>
  <si>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</si>
  <si>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</si>
  <si>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</si>
  <si>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</si>
  <si>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</si>
  <si>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</si>
  <si>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</si>
  <si>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</si>
  <si>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</si>
  <si>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</si>
  <si>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</si>
  <si>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</si>
  <si>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</si>
  <si>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</si>
  <si>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</si>
  <si>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</si>
  <si>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</si>
  <si>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</si>
  <si>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</si>
  <si>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</si>
  <si>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</si>
  <si>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</si>
  <si>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</si>
  <si>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</si>
  <si>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</si>
  <si>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</si>
  <si>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</si>
  <si>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</si>
  <si>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</si>
  <si>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</si>
  <si>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</si>
  <si>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</si>
  <si>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</si>
  <si>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</si>
  <si>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</si>
  <si>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</si>
  <si>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</si>
  <si>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</si>
  <si>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</si>
  <si>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</si>
  <si>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</si>
  <si>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</si>
  <si>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</si>
  <si>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</si>
  <si>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</si>
  <si>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</si>
  <si>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</si>
  <si>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</si>
  <si>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</si>
  <si>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</si>
  <si>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</si>
  <si>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</si>
  <si>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</si>
  <si>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</si>
  <si>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</si>
  <si>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</si>
  <si>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</si>
  <si>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</si>
  <si>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</si>
  <si>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</si>
  <si>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</si>
  <si>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</si>
  <si>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</si>
  <si>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</si>
  <si>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</si>
  <si>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</si>
  <si>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</si>
  <si>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</si>
  <si>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</si>
  <si>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</si>
  <si>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</si>
  <si>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</si>
  <si>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</si>
  <si>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</si>
  <si>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</si>
  <si>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</si>
  <si>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</si>
  <si>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</si>
  <si>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</si>
  <si>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</si>
  <si>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</si>
  <si>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</si>
  <si>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</si>
  <si>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</si>
  <si>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</si>
  <si>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</si>
  <si>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</si>
  <si>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</si>
  <si>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</si>
  <si>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</si>
  <si>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</si>
  <si>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</si>
  <si>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</si>
  <si>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</si>
  <si>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</si>
  <si>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</si>
  <si>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</si>
  <si>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</si>
  <si>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</si>
  <si>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</si>
  <si>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</si>
  <si>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</si>
  <si>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</si>
  <si>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</si>
  <si>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</si>
  <si>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</si>
  <si>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</si>
  <si>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</si>
  <si>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</si>
  <si>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</si>
  <si>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</si>
  <si>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</si>
  <si>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</si>
  <si>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</si>
  <si>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</si>
  <si>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</si>
  <si>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</si>
  <si>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</si>
  <si>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</si>
  <si>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</si>
  <si>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</si>
  <si>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</si>
  <si>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</si>
  <si>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</si>
  <si>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</si>
  <si>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</si>
  <si>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</si>
  <si>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</si>
  <si>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</si>
  <si>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</si>
  <si>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</si>
  <si>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</si>
  <si>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</si>
  <si>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</si>
  <si>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</si>
  <si>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</si>
  <si>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</si>
  <si>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</si>
  <si>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</si>
  <si>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</si>
  <si>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</si>
  <si>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</si>
  <si>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</si>
  <si>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</si>
  <si>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</si>
  <si>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</si>
  <si>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</si>
  <si>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</si>
  <si>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</si>
  <si>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</si>
  <si>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</si>
  <si>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</si>
  <si>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</si>
  <si>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</si>
  <si>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</si>
  <si>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</si>
  <si>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</si>
  <si>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</si>
  <si>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</si>
  <si>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</si>
  <si>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</si>
  <si>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</si>
  <si>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</si>
  <si>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</si>
  <si>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</si>
  <si>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</si>
  <si>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</si>
  <si>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</si>
  <si>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</si>
  <si>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</si>
  <si>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</si>
  <si>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</si>
  <si>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</si>
  <si>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</si>
  <si>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</si>
  <si>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</si>
  <si>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</si>
  <si>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</si>
  <si>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</si>
  <si>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</si>
  <si>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Athens/Clarke County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</si>
  <si>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</si>
  <si>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</si>
  <si>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</si>
  <si>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</si>
  <si>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</si>
  <si>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</si>
  <si>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</si>
  <si>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</si>
  <si>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</si>
  <si>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</si>
  <si>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</si>
  <si>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</si>
  <si>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</si>
  <si>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</si>
  <si>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</si>
  <si>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</si>
  <si>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</si>
  <si>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</si>
  <si>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</si>
  <si>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</si>
  <si>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</si>
  <si>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</si>
  <si>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</si>
  <si>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</si>
  <si>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</si>
  <si>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</si>
  <si>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</si>
  <si>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</si>
  <si>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</si>
  <si>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</si>
  <si>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</si>
  <si>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</si>
  <si>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</si>
  <si>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</si>
  <si>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</si>
  <si>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</si>
  <si>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</si>
  <si>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</si>
  <si>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</si>
  <si>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</si>
  <si>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</si>
  <si>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</si>
  <si>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</si>
  <si>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</si>
  <si>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</si>
  <si>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</si>
  <si>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</si>
  <si>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</si>
  <si>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</si>
  <si>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</si>
  <si>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</si>
  <si>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</si>
  <si>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</si>
  <si>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</si>
  <si>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</si>
  <si>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</si>
  <si>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</si>
  <si>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</si>
  <si>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</si>
  <si>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</si>
  <si>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</si>
  <si>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</si>
  <si>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</si>
  <si>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</si>
  <si>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</si>
  <si>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</si>
  <si>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</si>
  <si>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</si>
  <si>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</si>
  <si>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</si>
  <si>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</si>
  <si>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</si>
  <si>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</si>
  <si>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</si>
  <si>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</si>
  <si>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</si>
  <si>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</si>
  <si>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</si>
  <si>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</si>
  <si>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</si>
  <si>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</si>
  <si>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</si>
  <si>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</si>
  <si>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</si>
  <si>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</si>
  <si>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</si>
  <si>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</si>
  <si>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</si>
  <si>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</si>
  <si>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</si>
  <si>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</si>
  <si>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</si>
  <si>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</si>
  <si>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</si>
  <si>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</si>
  <si>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</si>
  <si>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</si>
  <si>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</si>
  <si>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</si>
  <si>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</si>
  <si>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</si>
  <si>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</si>
  <si>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</si>
  <si>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</si>
  <si>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</si>
  <si>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</si>
  <si>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</si>
  <si>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</si>
  <si>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</si>
  <si>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</si>
  <si>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</si>
  <si>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</si>
  <si>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</si>
  <si>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</si>
  <si>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</si>
  <si>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</si>
  <si>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</si>
  <si>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</si>
  <si>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</si>
  <si>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</si>
  <si>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</si>
  <si>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</si>
  <si>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</si>
  <si>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</si>
  <si>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</si>
  <si>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</si>
  <si>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</si>
  <si>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</si>
  <si>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</si>
  <si>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</si>
  <si>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</si>
  <si>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</si>
  <si>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</si>
  <si>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</si>
  <si>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</si>
  <si>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</si>
  <si>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</si>
  <si>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</si>
  <si>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</si>
  <si>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</si>
  <si>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</si>
  <si>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</si>
  <si>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</si>
  <si>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</si>
  <si>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</si>
  <si>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</si>
  <si>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</si>
  <si>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</si>
  <si>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</si>
  <si>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</si>
  <si>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</si>
  <si>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</si>
  <si>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</si>
  <si>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</si>
  <si>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</si>
  <si>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</si>
  <si>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</si>
  <si>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</si>
  <si>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</si>
  <si>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</si>
  <si>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</si>
  <si>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</si>
  <si>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</si>
  <si>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</si>
  <si>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</si>
  <si>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</si>
  <si>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</si>
  <si>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</si>
  <si>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</si>
  <si>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</si>
  <si>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</si>
  <si>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</si>
  <si>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</si>
  <si>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</si>
  <si>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</si>
  <si>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</si>
  <si>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</si>
  <si>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</si>
  <si>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</si>
  <si>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</si>
  <si>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</si>
  <si>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</si>
  <si>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</si>
  <si>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</si>
  <si>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</si>
  <si>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</si>
  <si>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</si>
  <si>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</si>
  <si>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</si>
  <si>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</si>
  <si>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</si>
  <si>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</si>
  <si>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</si>
  <si>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</si>
  <si>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</si>
  <si>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</si>
  <si>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</si>
  <si>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</si>
  <si>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</si>
  <si>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</si>
  <si>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</si>
  <si>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</si>
  <si>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</si>
  <si>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</si>
  <si>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</si>
  <si>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</si>
  <si>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</si>
  <si>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</si>
  <si>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</si>
  <si>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</si>
  <si>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</si>
  <si>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</si>
  <si>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</si>
  <si>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</si>
  <si>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</si>
  <si>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</si>
  <si>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</si>
  <si>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</si>
  <si>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</si>
  <si>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</si>
  <si>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</si>
  <si>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</si>
  <si>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</si>
  <si>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</si>
  <si>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</si>
  <si>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</si>
  <si>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</si>
  <si>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</si>
  <si>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</si>
  <si>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</si>
  <si>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</si>
  <si>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</si>
  <si>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</si>
  <si>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</si>
  <si>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</si>
  <si>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</si>
  <si>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</si>
  <si>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</si>
  <si>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</si>
  <si>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</si>
  <si>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</si>
  <si>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</si>
  <si>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</si>
  <si>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</si>
  <si>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</si>
  <si>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</si>
  <si>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</si>
  <si>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</si>
  <si>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</si>
  <si>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</si>
  <si>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</si>
  <si>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</si>
  <si>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</si>
  <si>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</si>
  <si>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</si>
  <si>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</si>
  <si>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</si>
  <si>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</si>
  <si>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</si>
  <si>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</si>
  <si>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</si>
  <si>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</si>
  <si>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</si>
  <si>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</si>
  <si>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</si>
  <si>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</si>
  <si>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</si>
  <si>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</si>
  <si>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</si>
  <si>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</si>
  <si>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</si>
  <si>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</si>
  <si>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</si>
  <si>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</si>
  <si>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</si>
  <si>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</si>
  <si>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</si>
  <si>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</si>
  <si>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</si>
  <si>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</si>
  <si>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</si>
  <si>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</si>
  <si>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</si>
  <si>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</si>
  <si>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</si>
  <si>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</si>
  <si>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</si>
  <si>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</si>
  <si>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</si>
  <si>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</si>
  <si>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</si>
  <si>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</si>
  <si>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</si>
  <si>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</si>
  <si>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</si>
  <si>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</si>
  <si>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</si>
  <si>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</si>
  <si>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</si>
  <si>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</si>
  <si>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</si>
  <si>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</si>
  <si>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</si>
  <si>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</si>
  <si>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</si>
  <si>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</si>
  <si>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</si>
  <si>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</si>
  <si>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</si>
  <si>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</si>
  <si>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</si>
  <si>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</si>
  <si>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</si>
  <si>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</si>
  <si>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</si>
  <si>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</si>
  <si>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</si>
  <si>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</si>
  <si>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</si>
  <si>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</si>
  <si>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</si>
  <si>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</si>
  <si>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</si>
  <si>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</si>
  <si>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</si>
  <si>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</si>
  <si>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</si>
  <si>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</si>
  <si>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</si>
  <si>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</si>
  <si>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</si>
  <si>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</si>
  <si>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</si>
  <si>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</si>
  <si>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</si>
  <si>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</si>
  <si>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</si>
  <si>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</si>
  <si>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</si>
  <si>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</si>
  <si>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</si>
  <si>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</si>
  <si>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</si>
  <si>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</si>
  <si>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</si>
  <si>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</si>
  <si>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</si>
  <si>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</si>
  <si>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</si>
  <si>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</si>
  <si>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</si>
  <si>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</si>
  <si>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</si>
  <si>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</si>
  <si>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</si>
  <si>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</si>
  <si>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</si>
  <si>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</si>
  <si>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</si>
  <si>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</si>
  <si>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</si>
  <si>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</si>
  <si>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</si>
  <si>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</si>
  <si>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</si>
  <si>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</si>
  <si>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</si>
  <si>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</si>
  <si>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</si>
  <si>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</si>
  <si>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</si>
  <si>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</si>
  <si>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</si>
  <si>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</si>
  <si>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</si>
  <si>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</si>
  <si>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</si>
  <si>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</si>
  <si>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</si>
  <si>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</si>
  <si>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</si>
  <si>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</si>
  <si>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</si>
  <si>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</si>
  <si>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</si>
  <si>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</si>
  <si>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</si>
  <si>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</si>
  <si>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</si>
  <si>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</si>
  <si>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</si>
  <si>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</si>
  <si>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</si>
  <si>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</si>
  <si>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</si>
  <si>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</si>
  <si>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</si>
  <si>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</si>
  <si>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</si>
  <si>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</si>
  <si>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</si>
  <si>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</si>
  <si>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</si>
  <si>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</si>
  <si>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</si>
  <si>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</si>
  <si>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</si>
  <si>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</si>
  <si>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</si>
  <si>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</si>
  <si>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</si>
  <si>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</si>
  <si>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</si>
  <si>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</si>
  <si>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</si>
  <si>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</si>
  <si>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</si>
  <si>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</si>
  <si>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</si>
  <si>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</si>
  <si>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</si>
  <si>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</si>
  <si>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</si>
  <si>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</si>
  <si>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</si>
  <si>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</si>
  <si>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</si>
  <si>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</si>
  <si>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</si>
  <si>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</si>
  <si>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</si>
  <si>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</si>
  <si>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</si>
  <si>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</si>
  <si>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</si>
  <si>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</si>
  <si>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</si>
  <si>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</si>
  <si>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</si>
  <si>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</si>
  <si>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</si>
  <si>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</si>
  <si>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</si>
  <si>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</si>
  <si>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</si>
  <si>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</si>
  <si>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</si>
  <si>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</si>
  <si>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</si>
  <si>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</si>
  <si>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</si>
  <si>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</si>
  <si>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</si>
  <si>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</si>
  <si>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</si>
  <si>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</si>
  <si>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</si>
  <si>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</si>
  <si>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</si>
  <si>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</si>
  <si>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</si>
  <si>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</si>
  <si>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</si>
  <si>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</si>
  <si>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</si>
  <si>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</si>
  <si>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</si>
  <si>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</si>
  <si>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</si>
  <si>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</si>
  <si>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</si>
  <si>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</si>
  <si>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</si>
  <si>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</si>
  <si>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</si>
  <si>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</si>
  <si>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</si>
  <si>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</si>
  <si>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</si>
  <si>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</si>
  <si>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</si>
  <si>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</si>
  <si>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</si>
  <si>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</si>
  <si>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</si>
  <si>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</si>
  <si>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</si>
  <si>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</si>
  <si>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</si>
  <si>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</si>
  <si>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</si>
  <si>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</si>
  <si>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</si>
  <si>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</si>
  <si>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</si>
  <si>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</si>
  <si>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</si>
  <si>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</si>
  <si>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</si>
  <si>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</si>
  <si>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</si>
  <si>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</si>
  <si>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</si>
  <si>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</si>
  <si>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</si>
  <si>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</si>
  <si>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</si>
  <si>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</si>
  <si>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</si>
  <si>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</si>
  <si>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</si>
  <si>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</si>
  <si>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</si>
  <si>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</si>
  <si>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</si>
  <si>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</si>
  <si>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</si>
  <si>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</si>
  <si>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</si>
  <si>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</si>
  <si>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</si>
  <si>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</si>
  <si>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</si>
  <si>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</si>
  <si>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</si>
  <si>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</si>
  <si>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</si>
  <si>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</si>
  <si>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</si>
  <si>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</si>
  <si>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</si>
  <si>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</si>
  <si>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</si>
  <si>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</si>
  <si>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</si>
  <si>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</si>
  <si>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</si>
  <si>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</si>
  <si>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</si>
  <si>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</si>
  <si>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</si>
  <si>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</si>
  <si>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</si>
  <si>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</si>
  <si>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</si>
  <si>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</si>
  <si>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</si>
  <si>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</si>
  <si>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</si>
  <si>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</si>
  <si>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</si>
  <si>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</si>
  <si>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</si>
  <si>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</si>
  <si>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</si>
  <si>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</si>
  <si>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</si>
  <si>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</si>
  <si>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</si>
  <si>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</si>
  <si>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</si>
  <si>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</si>
  <si>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</si>
  <si>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</si>
  <si>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</si>
  <si>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</si>
  <si>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</si>
  <si>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</si>
  <si>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</si>
  <si>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</si>
  <si>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</si>
  <si>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</si>
  <si>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</si>
  <si>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</si>
  <si>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</si>
  <si>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</si>
  <si>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</si>
  <si>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</si>
  <si>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</si>
  <si>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</si>
  <si>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</si>
  <si>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</si>
  <si>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</si>
  <si>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</si>
  <si>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</si>
  <si>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</si>
  <si>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</si>
  <si>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</si>
  <si>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</si>
  <si>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</si>
  <si>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</si>
  <si>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</si>
  <si>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</si>
  <si>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</si>
  <si>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</si>
  <si>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</si>
  <si>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</si>
  <si>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</si>
  <si>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</si>
  <si>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</si>
  <si>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</si>
  <si>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</si>
  <si>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</si>
  <si>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</si>
  <si>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</si>
  <si>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</si>
  <si>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</si>
  <si>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</si>
  <si>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</si>
  <si>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</si>
  <si>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</si>
  <si>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</si>
  <si>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</si>
  <si>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</si>
  <si>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</si>
  <si>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</si>
  <si>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</si>
  <si>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</si>
  <si>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</si>
  <si>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</si>
  <si>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</si>
  <si>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</si>
  <si>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</si>
  <si>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</si>
  <si>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</si>
  <si>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</si>
  <si>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</si>
  <si>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</si>
  <si>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</si>
  <si>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</si>
  <si>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</si>
  <si>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</si>
  <si>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</si>
  <si>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</si>
  <si>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</si>
  <si>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</si>
  <si>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</si>
  <si>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</si>
  <si>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</si>
  <si>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</si>
  <si>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</si>
  <si>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</si>
  <si>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</si>
  <si>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</si>
  <si>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</si>
  <si>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</si>
  <si>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</si>
  <si>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</si>
  <si>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</si>
  <si>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</si>
  <si>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</si>
  <si>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</si>
  <si>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</si>
  <si>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</si>
  <si>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</si>
  <si>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</si>
  <si>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</si>
  <si>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</si>
  <si>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</si>
  <si>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</si>
  <si>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</si>
  <si>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</si>
  <si>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</si>
  <si>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</si>
  <si>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</si>
  <si>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</si>
  <si>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</si>
  <si>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</si>
  <si>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</si>
  <si>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</si>
  <si>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</si>
  <si>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</si>
  <si>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</si>
  <si>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</si>
  <si>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</si>
  <si>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</si>
  <si>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</si>
  <si>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</si>
  <si>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</si>
  <si>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</si>
  <si>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</si>
  <si>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</si>
  <si>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</si>
  <si>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</si>
  <si>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</si>
  <si>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</si>
  <si>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</si>
  <si>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</si>
  <si>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</si>
  <si>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</si>
  <si>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</si>
  <si>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</si>
  <si>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</si>
  <si>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</si>
  <si>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</si>
  <si>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</si>
  <si>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</si>
  <si>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</si>
  <si>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</si>
  <si>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</si>
  <si>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</si>
  <si>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</si>
  <si>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</si>
  <si>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</si>
  <si>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</si>
  <si>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</si>
  <si>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</si>
  <si>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</si>
  <si>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</si>
  <si>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</si>
  <si>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</si>
  <si>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</si>
  <si>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</si>
  <si>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</si>
  <si>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</si>
  <si>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</si>
  <si>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</si>
  <si>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</si>
  <si>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</si>
  <si>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</si>
  <si>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</si>
  <si>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</si>
  <si>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</si>
  <si>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</si>
  <si>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</si>
  <si>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</si>
  <si>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</si>
  <si>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</si>
  <si>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</si>
  <si>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</si>
  <si>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</si>
  <si>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</si>
  <si>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</si>
  <si>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</si>
  <si>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</si>
  <si>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</si>
  <si>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</si>
  <si>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</si>
  <si>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</si>
  <si>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</si>
  <si>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</si>
  <si>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</si>
  <si>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</si>
  <si>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</si>
  <si>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</si>
  <si>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</si>
  <si>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</si>
  <si>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</si>
  <si>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</si>
  <si>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</si>
  <si>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</si>
  <si>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</si>
  <si>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</si>
  <si>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</si>
  <si>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</si>
  <si>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</si>
  <si>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</si>
  <si>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</si>
  <si>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</si>
  <si>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</si>
  <si>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</si>
  <si>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</si>
  <si>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</si>
  <si>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</si>
  <si>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</si>
  <si>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</si>
  <si>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</si>
  <si>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</si>
  <si>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</si>
  <si>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</si>
  <si>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</si>
  <si>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</si>
  <si>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</si>
  <si>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</si>
  <si>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</si>
  <si>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</si>
  <si>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</si>
  <si>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</si>
  <si>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</si>
  <si>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</si>
  <si>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</si>
  <si>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</si>
  <si>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</si>
  <si>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</si>
  <si>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</si>
  <si>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</si>
  <si>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</si>
  <si>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</si>
  <si>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</si>
  <si>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</si>
  <si>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</si>
  <si>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</si>
  <si>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</si>
  <si>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</si>
  <si>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</si>
  <si>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</si>
  <si>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</si>
  <si>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</si>
  <si>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</si>
  <si>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</si>
  <si>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</si>
  <si>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</si>
  <si>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</si>
  <si>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</si>
  <si>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</si>
  <si>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</si>
  <si>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</si>
  <si>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</si>
  <si>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</si>
  <si>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</si>
  <si>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</si>
  <si>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</si>
  <si>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</si>
  <si>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</si>
  <si>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</si>
  <si>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</si>
  <si>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</si>
  <si>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</si>
  <si>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</si>
  <si>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</si>
  <si>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</si>
  <si>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</si>
  <si>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</si>
  <si>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</si>
  <si>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</si>
  <si>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</si>
  <si>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</si>
  <si>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</si>
  <si>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</si>
  <si>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</si>
  <si>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</si>
  <si>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</si>
  <si>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</si>
  <si>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</si>
  <si>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</si>
  <si>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</si>
  <si>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</si>
  <si>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</si>
  <si>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</si>
  <si>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</si>
  <si>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</si>
  <si>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</si>
  <si>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</si>
  <si>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</si>
  <si>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</si>
  <si>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</si>
  <si>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</si>
  <si>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</si>
  <si>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</si>
  <si>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</si>
  <si>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</si>
  <si>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</si>
  <si>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</si>
  <si>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</si>
  <si>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</si>
  <si>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</si>
  <si>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</si>
  <si>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</si>
  <si>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</si>
  <si>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</si>
  <si>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</si>
  <si>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</si>
  <si>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</si>
  <si>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</si>
  <si>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</si>
  <si>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</si>
  <si>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</si>
  <si>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</si>
  <si>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</si>
  <si>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</si>
  <si>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</si>
  <si>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</si>
  <si>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</si>
  <si>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</si>
  <si>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</si>
  <si>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</si>
  <si>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</si>
  <si>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</si>
  <si>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</si>
  <si>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</si>
  <si>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</si>
  <si>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</si>
  <si>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</si>
  <si>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</si>
  <si>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</si>
  <si>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</si>
  <si>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</si>
  <si>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</si>
  <si>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</si>
  <si>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</si>
  <si>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</si>
  <si>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</si>
  <si>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</si>
  <si>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</si>
  <si>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</si>
  <si>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xml:space="preserve">Troup County / Hogansville / LaGrange / West Point </t>
  </si>
  <si>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</si>
  <si>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</si>
  <si>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</si>
  <si>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</si>
  <si>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</si>
  <si>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</si>
  <si>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</si>
  <si>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</si>
  <si>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</si>
  <si>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</si>
  <si>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</si>
  <si>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2018PA-039</t>
  </si>
  <si>
    <t>9% Credit Competitive Round only</t>
  </si>
  <si>
    <t>In-Fill Housing II, Inc.</t>
  </si>
  <si>
    <t>Kathleen Mathews</t>
  </si>
  <si>
    <t>Development Operations Mgr</t>
  </si>
  <si>
    <t>2015 Felton Avenue</t>
  </si>
  <si>
    <t>kmathews@maconhousing.com</t>
  </si>
  <si>
    <t>Mike Austin</t>
  </si>
  <si>
    <t>CEO</t>
  </si>
  <si>
    <t>maustin@maconhousing.com</t>
  </si>
  <si>
    <t>Tindall Fields III</t>
  </si>
  <si>
    <t>985 Plant Street</t>
  </si>
  <si>
    <t>Yes- w/Master Plan</t>
  </si>
  <si>
    <t>2017-028</t>
  </si>
  <si>
    <t>Within City Limits</t>
  </si>
  <si>
    <t>Consolidated Government of Macon-Bibb</t>
  </si>
  <si>
    <t>Robert Reichert</t>
  </si>
  <si>
    <t>700 Popular Street</t>
  </si>
  <si>
    <t>Mayor</t>
  </si>
  <si>
    <t>http://www.maconbibb.us</t>
  </si>
  <si>
    <t>reichert@maconbibb.us</t>
  </si>
  <si>
    <t>Direct</t>
  </si>
  <si>
    <t>Macon Housing Authority</t>
  </si>
  <si>
    <t xml:space="preserve">Macon  </t>
  </si>
  <si>
    <t xml:space="preserve">Item IV.  Some explanation of the use of "985 Plant Street" is required.  Since none of the 56 Tindall Heights buildings had an actual street address, the site had historically been locally known as "985 Plant Street."  This was the street address for the property management site office, and is now the "generic" address for the site. We have provided geo coordinates for accurate access to the site entrance.  The eventual address for Tindall Fields III will be assigned by local authorities when construction is underway.  
We are using the 2016 waiver granted by DCA for Phases II, III, and IV of the Tindall Heights public housing replacement project to use the community building proposed in the Tindall Fields Phase I application (application #2016-043) in 2016.  </t>
  </si>
  <si>
    <t>PHA Project-Based Vouchers</t>
  </si>
  <si>
    <t>Local Government Loan</t>
  </si>
  <si>
    <t>Wells Fargo</t>
  </si>
  <si>
    <t>Amortizing</t>
  </si>
  <si>
    <t>Wells Fargo (proposed)</t>
  </si>
  <si>
    <t>File Compliances Reviews</t>
  </si>
  <si>
    <t>Security Systems</t>
  </si>
  <si>
    <t>2-Story Walkup</t>
  </si>
  <si>
    <t>PHA PBRA</t>
  </si>
  <si>
    <t>Georgia Power Installation</t>
  </si>
  <si>
    <t>DDA/QCT</t>
  </si>
  <si>
    <t>Electric Heat Pump</t>
  </si>
  <si>
    <t>MF</t>
  </si>
  <si>
    <t>This line item is for the installation of electrical infrastructure specifically for lighting on the property, paid to Georgia Power Company.</t>
  </si>
  <si>
    <t>As this cost is properly depreciable with the buildings and related infrastructure, it is able to be included in eligible basis.</t>
  </si>
  <si>
    <t>This line item is for the cost for installation of security systems, paid under separate contract to a security company independent of the general contractor, and paid directly by the partnership.</t>
  </si>
  <si>
    <t>This item is part of the depreciable property that is part of the residential building and inures to the benefit of the residents.  As such, it is includable in eligible basis.</t>
  </si>
  <si>
    <t>This cost is for a third-party consultant to review first-year tenant files to ensure compliance with applicable PBV and tax credit regulations.</t>
  </si>
  <si>
    <t>As this cost pertains to post-construction/lease-up and operational activities, it is not included in eligible basis.</t>
  </si>
  <si>
    <t>Training</t>
  </si>
  <si>
    <t>Social and recreational programs (movie nights, pot luck dinners, etc.)</t>
  </si>
  <si>
    <t>Computer training, financial literacy, Safety classes, arts and crafts classes</t>
  </si>
  <si>
    <t>Agree</t>
  </si>
  <si>
    <t>N/A under this category although we have similar MOUs</t>
  </si>
  <si>
    <t>N/a</t>
  </si>
  <si>
    <t>Tindall Partners IV, L.P.</t>
  </si>
  <si>
    <t>Michael T. Austin</t>
  </si>
  <si>
    <t>For Profit</t>
  </si>
  <si>
    <t>maustin@mcaonhousing.com</t>
  </si>
  <si>
    <t>Tindall IV GP, Inc.</t>
  </si>
  <si>
    <t>Wells Fargo Bank, N.A. (Proposed)</t>
  </si>
  <si>
    <t>J. Frederick Davis, III</t>
  </si>
  <si>
    <t>301 South College St.</t>
  </si>
  <si>
    <t>Senior Vice President</t>
  </si>
  <si>
    <t>Charlotte</t>
  </si>
  <si>
    <t>www.wellsfargo.com</t>
  </si>
  <si>
    <t>rick.davis@wellsfargo.com</t>
  </si>
  <si>
    <t>TBD through competitive bid process</t>
  </si>
  <si>
    <t>Spivey, Pope, Green &amp; Greer</t>
  </si>
  <si>
    <t>Scott Spivey</t>
  </si>
  <si>
    <t>Partner</t>
  </si>
  <si>
    <t>www.spgglaw.com</t>
  </si>
  <si>
    <t>sspivey@spgglaw.com</t>
  </si>
  <si>
    <t>Aprio, LLP</t>
  </si>
  <si>
    <t>Frank Gudger</t>
  </si>
  <si>
    <t>5 Concourse Parkway, Suite 200</t>
  </si>
  <si>
    <t>www.aprio.com</t>
  </si>
  <si>
    <t>frank.gudger@hawcpa.com</t>
  </si>
  <si>
    <t>BTBB Architects</t>
  </si>
  <si>
    <t>Bob Brown</t>
  </si>
  <si>
    <t>609 Cherry Street</t>
  </si>
  <si>
    <t>www.btbbinc.com</t>
  </si>
  <si>
    <t>bbrown@btbbinc.com</t>
  </si>
  <si>
    <t>Ground Lease Option: The owner, Macon Housing Authority (lessor),  is related to and affiliated with but does not control In-Fill Housing II, the lessee.  In-Fill Housing II has assigned the Ground Lease Option to the Partnership, which it controls. The Ground Lease will be for a 55 year period.</t>
  </si>
  <si>
    <t xml:space="preserve">As with Tindall Seniors Towers (2015-037), Tindall Fields I (2016-043) and Tindall Fields II (2017-028), The Macon Housing Authority is the land owner, and will also be the Management Company for Tindall Fields III. </t>
  </si>
  <si>
    <t xml:space="preserve">1. Introduction
       This application to the Georgia Department of Community Affairs (DCA) is for an allocation of Low Income Housing Tax Credits for the development of Tindall Fields III.  The applicant is Tindall Partners IV, L.P.  The General Partner is Tindall IV GP, Inc. with In-Fill Housing II, Inc. (In-Fill) as its sole shareholder.  (In-Fill is a 501-c-4 nonprofit affiliate of the Macon Bibb Housing Authority [MHA]). Tindall Fields III will consist of 65 multifamily units, all of which will be affordable for low income families.
2. The Need to Redevelop the former Tindall Heights public housing development
       Tindall Heights was a 412-unit obsolete public housing development on 28 acres that had been the most troubled property in MHA’s inventory.  It historically took four offers to find one family on the centralized MHA waiting list to fill each unit.  MHA applied unsuccessfully three times for a HOPE VI grant to redevelop the project; each time it was disqualified on a technical reason, not because of need.  
       Finally, after these various “HOPE VI disappointments”, HUD approved MHA’s “Demo Dispo” application in September 2015.  In December 2015 HUD allocated 390 Tenant Protection Vouchers to facilitate MHA’s relocation of the Tindall Heights residents.  The great news for Tindall continued with DCA’s allocation of LIHTCs for Tindall Seniors Towers (DCA 15-037); DCA awarded a second allocation of LIHTCs in 2016 for Tindall Fields I (DCA 16-043).  In 2017 DCA awarded a third allocation of LIHTCs for Tindall Fields II (DCA 17-028).  This application for Tindall Fields III is the fourth and final affordable housing phase for the Tindall redevelopment. 
3. Prime Location
         Located in a highly visible area along Little Richard Penniman Blvd, Tindall Fields III will be within easy access to numerous area amenities. It is also adjacent to the recent multi-million investment by Mercer University and Sierra Development, where new restaurants, a new Marriott Hotel, loft housing and a pedestrian-connector bridge with the Mercer University campus have all been recently completed. Because of this established successful redevelopment, Mercer and Sierra have just started construction on yet another new student housing phase, which is immediately adjacent to the Tindall site. The combined total of Macon Bibb County SPLOST funds, TAD funds and Mercer University sponsored development exceeds $50 million; an incredible investment for Macon, Georgia standards. The Tindall Fields III site is also less than two miles from downtown Macon and is served by the Macon Transit Authority, with bus stops adjacent to the Tindall site.  More than two dozen amenities including retail shopping, a grocery store, health care, recreation, public safety, and other important institutions are within an easy walk and/or drive for the future residents.  The property is also part of the Macon-Bibb Urban Redevelopment Plan, an initiative now well underway that is strengthening the inner-city areas of Macon-Bibb County. 
4. Our Transforming News Continues
        MHA/In-Fill has always embraced the difficult challenge, and challenged by DCA in 2017 to transform a community, MHA/In-Fill took that to heart.  The result after five months of continuous work on the part of the Macon community was a DCA-approved Transformation Plan that is now addressing the tough issues as DCA requested.  Our Plan   goes beyond that to lay the foundation for even closer and stronger working relationships among our partners and local leaders.  DCA will note in this year’s application at Tab 33-05 that our new Community Quarterback Board has not just been selected but the initial meeting of this new Board has already been held.  As a reminder, the Plan includes a 2017 “Innovative Project Concept” led by Mercer University and the Bibb County Schools, a strong Healthy Housing Initiative, an exciting “Leader in Me” leadership skills program at Ingram Pye Elementary School, a renewed approach to public transportation improvements, a focused 2-1-1 resources program, various healthy lifestyle commitments from Navicent Health and so much more. 
       The DCA reviewers will find at Tab 33-04 that two new partners have been added this year.  First, the Community Foundation of Central Georgia, has pledged $50,000 in scholarships to the future residents of Tindall Fields III and the Defined Neighborhood. This is an incredibly significant new contribution that speaks volumes about the community’s belief that what is taking place at Tindall is exciting and worth supporting. Second, we have a new $5000 commitment from the Middle Georgia State University Foundation that will also be earmarked for college scholarships for those aspiring students from the Defined Neighborhood.  We’re thrilled to report these new commitments of $55,000. Furthermore, we believe that no other Plan in Georgia could have stronger political support than ours, thanks to the leadership of Mayor Robert Reichert and the Macon Bibb County Commission.
5.  Strength and Mission of the Development/Ownership Team 
       As noted above In-Fill will be the owner of the General Partner of the Partnership; In-Fill will also be the Developer.  In-Fill and its sister affiliates under the leadership of MHA CEO Mike Austin have been engaged in the development of affordable multifamily developments since 2001; since that time the various nonprofit entities under the MHA family of non-profits have developed more than 1400 affordable multifamily units that are either completed or in the development pipeline.    In-Fill is therefore requesting DCA’s consideration for the non-profit set-aside at Tab 21.  
      In addition, MHA is requesting DCA’s consideration as an “Exceptional PHA” at Tab 38.  There are of course numerous Georgia PHAs that are “exceptional” and DCA will not have an easy task in determining just one from the entire state. If we are fortunate enough to earn that distinction, it will not just be based on MHA’s twenty-year record of providing beautiful affordable housing but its equally impressive record of helping communities and families become the very best they can be, as well. 
6. Needs of the proposed tenant population 
      Tindall Fields III will likely house a diverse group of low income residents including those with special needs. We therefore have MOAs with the River Edge Behavioral Health Center (River Edge) and Disability Connections, the Independent Living Center for middle Georgia. With the MHA-owned and MHA-staffed Buck Melton Community Center less than ½ mile away, Tindall Fields families can take advantage of numerous services including Macon-Bibb Head Start, Boys and Girls Clubs of Central Georgia, continuing education classes from Central Georgia Technical College, Operation HOPE (financial literacy program), WIC program offices and other family-friendly activities designed to promote family self-sufficiency and upward mobility. 
       Other low income families who won’t require any special services still need affordable, accessible, and convenient housing with modern amenities. Tindall Fields III will address their needs as well. The affordable housing need is clearly documented by the 2018 Novogradac Market Study which concludes at Tab 5-01, Page 88 that “…there is strong demand for the subject…” and on Page 89 states that “We believe the Subject will be well received and recommend the development as proposed.” The overall capture rate indicated on Page 4 is only 1.7%--a capture rate so small that the reviewer might at first glance think it’s a typo. 
7. How the project will meet the needs of the tenant population
      In June 2015 MHA adopted “a landmark” Section 8 Admissions Preference unparalleled in its 75-year history.   This preference was specifically made pursuant to DCA guidelines for the Settlement Population and is found at Tab 41-02; MHA was one of the first Georgia PHAs to do so. With this historic policy revision MHA agreed to allocate an admissions preference for Georgia Settlement Population clientele equal to one of every two persons admitted to the Section 8 program.  
      MHA has also pledged Section 8 Project Based Vouchers (PBVs) for 25 of the 65 units at Tindall Fields III, the maximum number of units MHA is permitted to allocate under HUD’s new PBV regulations for non-elderly residents.  Please see Tabs 1-03-01, 26-01 and 41-01.  This PBV allocation will provide much-needed rental assistance for 38% of the families; MHA and In-Fill believe that many other Section 8 voucher holders will find Tindall Fields III a desirable place to live, given the myriad new employment opportunities now available nearby. The new commercial developments adjacent to Tindall offer numerous entry level employment opportunities for lower income families; all of these opportunities will be within easy walking distance of the site. 
8. Unique Features: Local support is strong
       For the long-term planning that led to the Tindall Heights redevelopment plan, MHA worked very closely with all local stakeholders, including the former Tindall residents, the surrounding community, local government, Mercer University, local agencies, and other institutions.  Work began over 14 years ago on this plan.  During this period, MHA/In-Fill held or participated in over 200 separate community outreach and/or planning meetings related to the redevelopment of Tindall Heights. 
9. The Scope of Work is extensive 
       Tindall Fields III is the fourth and final affordable housing phase for the redevelopment of Tindall Heights. The total development budget for all four housing phases is projected to be more than $45,000,000; this fourth phase, Tindall Fields III, will cost just over $13 million.  All improvements will be completed within the EarthCraft Multifamily certification program; the scope of work will also be in full compliance with DCA’s accessibility requirements, and the common area amenities will be appropriate for persons with disabilities.  
10. MHA has been fully committed to the redevelopment of Tindall Heights 
       Please see Tab 44, which documents the “green field” commitments that MHA has made for the relocation of the residents (now completed), and for all abatement and demolition of the existing Tindall buildings (also completed).  This commitment has cost MHA more than $2.4 million from its scarce, non-federal resources.  
11. MHA/In-Fill is grateful to DCA for this redevelopment opportunity.
       This development team, with extensive affordable housing ownership and development experience, and with supportive housing experience as core parts of its mission, is grateful for the opportunity to transform the former Tindall Heights public housing into new, quality affordable housing for future generations. Tindall Seniors Towers (DCA 15-037) is completed and leasing up quickly. Tindall Fields I (DCA 16-043) is popping up out of the ground. Tindall Fields II (DCA 17-028) will close this fall. 
        The development team has more than 18 years’ experience in DCA affordable housing programs. In addition to the developer’s experience, there is also the strong team of third-party professionals who are similarly experienced with DCA affordable housing programs.  This team includes Bob Brown (architect with BTBB); Geotechnical &amp; Environmental Consultants, Inc., (GEC); Nathan Mize; Zeffert &amp; Associates; Ed Foskey with The Synergy Group; Frank Gudger, CPA; Scott Spivey and George Greer with Spivey Pope Green and Greer, along with MHA as the management company.  These companies and individuals have extensive and successful experience with DCA programs, and this group of proven professionals is excited about the opportunity to complete the redevelopment of Tindall Heights with this fourth and final phase.
        We thank the DCA review teams for their time and consideration of our application. 
</t>
  </si>
  <si>
    <t>http://www.maconbibb.us/wp-content/uploads/2018/05/MBC-Urban-Redevelopment-Plan-2018.pdf</t>
  </si>
  <si>
    <t xml:space="preserve">Brendan Kelly, Novogradac &amp; Co. </t>
  </si>
  <si>
    <t>5-6 months</t>
  </si>
  <si>
    <t>2014-052</t>
  </si>
  <si>
    <t>A.L.Miller</t>
  </si>
  <si>
    <t>2015-037</t>
  </si>
  <si>
    <t>Tindall Seniors Towers</t>
  </si>
  <si>
    <t>2016-043</t>
  </si>
  <si>
    <t>Tindall Fields I</t>
  </si>
  <si>
    <t>2017-027</t>
  </si>
  <si>
    <t>Tindall Fields II</t>
  </si>
  <si>
    <t>Appraisal Associates Group, LLC</t>
  </si>
  <si>
    <t xml:space="preserve">Geotechnical &amp; Environmental Consultants, Inc. </t>
  </si>
  <si>
    <t>Roadway (Little Richard Penniman Blvd) and Railway (Norfolk Southern)</t>
  </si>
  <si>
    <t>Minority concentration</t>
  </si>
  <si>
    <t>Ground lease/Option</t>
  </si>
  <si>
    <t>In-Fill Housing II, Inc./Partnership</t>
  </si>
  <si>
    <t>N/Ap</t>
  </si>
  <si>
    <t>Georgia Power</t>
  </si>
  <si>
    <t>Macon Water Authority</t>
  </si>
  <si>
    <t>Covered Porch</t>
  </si>
  <si>
    <t>On-site laundry</t>
  </si>
  <si>
    <t>Equipped Fitness Center</t>
  </si>
  <si>
    <t xml:space="preserve">  Furnished Arts &amp; Crafts/Activity Room</t>
  </si>
  <si>
    <t>Wellness Room</t>
  </si>
  <si>
    <t>Zeffert &amp; Associates</t>
  </si>
  <si>
    <t>http://www.infillhousing.net</t>
  </si>
  <si>
    <t>This tab is N/A</t>
  </si>
  <si>
    <t xml:space="preserve">Tindall Fields III meets Threshold approval for the following reasons:  a) there are no pending “under consideration” issues where there are any pending funding commitments; b) our development and operating costs in the Core Application Parts IV and V are reasonable and consistent with our historical experience; c) our equity pricing reflects current market conditions at $1.40 for federal and state equity combined; and d) our rent structure includes Section 8 Project Based Voucher rents which have been approved by the Macon Bibb Housing Authority (MHA) at Tab 01-02-01. </t>
  </si>
  <si>
    <t xml:space="preserve">Tindall Fields III meets Threshold approval because the Tindall Fields III development budget is within the HUD Total Development Cost limits. We have several different building types, so our explanation of how we determined our TDC is as follows: Tindall Fields III will have 65 units in 27 buildings. There are three building types, consisting of a mix of 21 semi-detached (duplex town home) buildings, 2 Row House buildings and 4 walkup buildings. </t>
  </si>
  <si>
    <t xml:space="preserve">Tindall Fields III meets Threshold approval because the Novogradac Market Study at Tab 5 concludes on Page 88 that “…there is strong demand for the subject…” and on Page 89 in its “Recommendation” Novogradac states that “We believe that the Subject will be well received and (we) recommend the development as proposed…” The overall capture rate of only 1.7% is a very strong indicator of market need.
 Items G through J were answered by the Novogradac market analyst at our request, to help the DCA reviewer (also referenced at Tab 05-01-04):   G: “we are not aware of any DCA funded projects in the PMA with physical occupancy rates below 90 percent.  However, Tindall Fields I and II have been funded but are not yet constructed.  Tindall Seniors Towers is also below 90 percent occupancy but it appears that it may be stabilized prior to submitting your application.  I am not sure if DCA would include phase I and II.”
- H:  “No.  Economic conditions have remained stable over the past year.” 
- I:  “No.  In fact, its possible that some demand for the Subject will originate from outside of the PMA.”
- J: “No.”
25 of the 65 units will receive Project Based Vouchers from MHA per Tab 01-03-01, Tab 26-01, and Tab 41-01.
</t>
  </si>
  <si>
    <t xml:space="preserve">There is an identity of interest between MHA (the ground lessor) and In-Fill Housing II, Inc., its non-profit affiliate, as lessee. Although this is a ground lease and not a sale, per DCA 2018 Workshop Q&amp;A dated March 30, 2018, # 14, an appraisal was obtained for Tindall Fields III.  The appraised value was determined to be $358,000 as of April 10, 2018, a value much greater than the ground lease cost of $10/year for the 55 year period.  Tindall Fields therefore meets Threshold approval; please see Tab 6-01.
For 6-D.1:  The property was rezoned in October 2009, per Macon Bibb Planning &amp; Zoning report at Tab 10-01.
</t>
  </si>
  <si>
    <t xml:space="preserve">Tindall Fields III meets Threshold approval for Item E-6 because MHA has both SHPO and HUD approval to proceed with the redevelopment of Tindall Heights; we have also received SHPO’s specific approval of the site plan and building elevations for Tindall Fields III; please see Tab 7-03 toward the end of the HOME/HUD Questionnaire for SHPO’s 2018 approval. For Item E-8, the asbestos abatement is now completed. Please see Tab 44 for documentation showing that MHA has paid for all abatement activity; this work was successfully managed by MHA with GEC as it’s third-party monitoring agent.  
A copy of the HOME/HUD Environmental Questionnaire is included at Tab 07-03 because of MHA’s allocation of Project Based Vouchers to the development. There are no HOME funds allocated to Tindall Fields III.
A copy of the HOME Site and Neighborhood Standards is included at Tab 07-07 because of MHA’s allocation of Project Based Vouchers to the development. There are no HOME funds allocated to Tindall Fields III.
</t>
  </si>
  <si>
    <t xml:space="preserve">Tindall Fields III meets Threshold approval because the applicant, Tindall Partners IV, LP has site control for Tindall Fields III past November 30, 2018 through an Assignment of an Option to Lease between In-Fill Housing II, Inc. and MHA. Please see Tab 8-01 for all related documents.
8-D:  The owner/ground lessor, MHA, is related to and affiliated with but does not control In-Fill Housing II, (In-Fill) the lessee.  In-Fill has in turn assigned the Option to Lease to the Partnership, which it controls.  The ground lease will be for a minimum of 55 years, exceeding the DCA 45 year minimum requirement.
</t>
  </si>
  <si>
    <t xml:space="preserve">Tindall Fields III meets Threshold approval because the site entrance for Tindall Fields III will be from Nussbaum Avenue, an existing and legally accessible paved street.  The documentation for this is our architect’s Conceptual Site Plan at Tab 9-01. </t>
  </si>
  <si>
    <t>Tindall Fields III meets Threshold approval for zoning because Tindall Fields III conforms to all of the DCA and local requirements listed above.  This documentation is located at Tab 10-01. For Item C-5, the “HUD funds” noted is actually the MHA allocation of Section 8 Project Based Vouchers.
The zoning classification for Tindall Fields III is PDR-Planned Development Residential</t>
  </si>
  <si>
    <t xml:space="preserve">Gas is N/A because Tindall Fields III will be all-electric. Tindall Fields III meets Threshold approval because the “will serve” letter from Georgia Power Company is provided at Tab 11-01. </t>
  </si>
  <si>
    <t xml:space="preserve">Tindall Fields III meets Threshold approval because the “will serve” letter from the Macon Water Authority filed at Tab 12-01 confirms that water and sewer is available for Tindall Fields III, with sufficient capacity. Public water and sewer have served the Tindall Heights site since 1940. </t>
  </si>
  <si>
    <t xml:space="preserve">Tindall Fields III meets Threshold approval for all site and unit amenities because Tindall Fields III will comply with all the DCA requirements noted above; reference is made to our Conceptual Site Plan at Tab 15-01 showing the specific amenities as supporting documentation. Please note that by letter dated March 31, 2016 we have DCA’s permission that allows the Community Center (currently under construction as part of Tindall Fields I (DCA 16-043) to serve not only that phase but also Tindall Fields II (DCA 17-028) and this Phase as well.  Please see Tab 13-02 for this documentation.  Since the total number of units for these three phases will be 194 units, we list four amenities above. Furthermore, please note that by letter dated December 1, 2017 we also received DCA’s permission to substitute a Wellness room for the previously-approved walking path.  This documentation is also found at Tab 13-02. This will further confirm that our first phase, Tindall Seniors Towers (DCA 15-037), has separate community facilities exclusively for those senior residents. </t>
  </si>
  <si>
    <t xml:space="preserve">This section is N/A since Tindall Fields III is new construction. </t>
  </si>
  <si>
    <t xml:space="preserve">15.A: please see Tab 15-01 for this information. Tindall Fields III meets Threshold approval because we have included all of the DCA-required information on the Existing Conditions and Conceptual Site Plans; we have also added an additional site plan depicting all four phases of the Redevelopment Plan for contextual purposes only. The DCA Cover Sheets are also included and this is actually on 2 pages due to the amount of information requested. Aerial photographs for 15.A &amp; 15.D were taken in April 2018. We have submitted our documentation for Items 15-B, C, and D at Tabs 15-02, 15-03 and 15-04, respectively. </t>
  </si>
  <si>
    <t xml:space="preserve">Tindall Fields III meets Threshold approval for sustainability because the Partnership, In-Fill Housing II, Inc., the A/E team and our sustainability consultant, Synergy Home Advantage, are all very familiar with these requirements; Tindall Fields III will be in full compliance with all of DCA’s sustainability requirements.  We have an excellent track record of sustainability compliance with our 17 other completed properties. </t>
  </si>
  <si>
    <t>Tindall Fields III meets Threshold approval for A/E design and quality standards because the Partnership, In-Fill Housing II, Inc. and the A/E team are all very familiar with these DCA requirements; Tindall Fields III will be in full compliance with the quality and longevity requirements and standard design options requirements under this section.  Furthermore, please see Tab 15-01 where the two options selected are noted on the Conceptual Site Plan.</t>
  </si>
  <si>
    <t xml:space="preserve">Tindall Fields III meets Threshold approval for accessibility because the owner and developer entities, the A/E team and the DCA-qualified accessibility consultant understand the various federal and state accessibility requirements, and Tindall Fields will be in full compliance with them.  We will contract with Zeffert &amp; Associates, Inc. for the required plan reviews, training sessions and construction monitoring inspections. Zeffert is also our third-party inspector for Tindall Seniors Towers (DCA 15-037), Tindall Fields I (DCA 16-043), Tindall Fields II (DCA 17-028).  </t>
  </si>
  <si>
    <t xml:space="preserve">Tindall Fields III meets experience, capacity and performance Threshold approval because In-Fill Housing II, Inc. submitted a Pre-Application on March 8, 2018 and received a “Qualified” determination letter from DCA dated April 30, 2018. Please see the supporting documentation at Tab 19-01. </t>
  </si>
  <si>
    <t>Tindall Fields III meets Threshold approval under the Non-Profit Set-Aside based upon the opinion of Scott Spivey, our attorney who specializes in tax law.  Please see Tabs 21-01 and 24-03 for this documentation.</t>
  </si>
  <si>
    <t xml:space="preserve">Tindall Fields III meets Threshold approval as this Tab is N/A and we have submitted the DCA Site Relocation Survey form at Tab 25-01 as required. As part of its role in the redevelopment of the former Tindall Heights public housing development, MHA assumed full responsibility for the relocation of the Tindall residents.  All relocation was completed in 2016, outside the scope of this application.  MHA also assumed full responsibility for the demolition of all Tindall public housing units and this work is also completed.  Please see Tab 44-01 for further information about MHA’s role with relocation and in giving the four Tindall partnerships a “green field” on which to build the new affordable housing.  </t>
  </si>
  <si>
    <t>Tindall Fields III meets Threshold approval because the Partnership, In-Fill Housing II, Inc., and MHA (our management company) agree to prepare and submit an AFFH Marketing Plan for Tindall Fields III in full compliance with all Fair Housing requirements. In-Fill Housing and MHA have a long history of fully supporting all Fair Housing and DCA requirements.  We further agree to comply with Items A through F above. Although not required, for supporting documentation we offer our signed MOAs with the River Edge Behavioral Health Center (the community mental health services agency for middle Georgia) and Disability Connections, Inc. (the Independent Living Center for middle Georgia.)  Please see Tab 41-02-02 and 41-02-03.  Furthermore, MHA has secured all HUD approvals necessary to implement the admissions preference for the Settlement Agreement population; please see Tab 41-02 for this documentation.</t>
  </si>
  <si>
    <t xml:space="preserve">Tindall Fields III meets Threshold approval for the optimal use of resources for two reasons.  First, we have a written commitment from MHA, originally dating from 2015 and confirmed for this application, that re-caps MHA’s continued payment for the full cost of relocation, asbestos remediation, demolition and rough site work.  In 2015, MHA pledged to give our owner/developer team a “green field” for the development of Tindall Seniors Towers (DCA 15-037), Tindall Fields I DCA 16-043), Tindall Fields II (DCA 17-028) and Tindall Fields III (this fourth and final phase). The estimated cost of this MHA commitment exceeds $2.4 million, thereby reducing the amount of the development budget by $600,000 per phase, on average. Please see Tab 44-01 for this documentation.  Second, our request to DCA to build only one community center for Tindall Fields Phases 2, 3 and 4, along with DCA’s approval, will save hundreds of thousands of dollars by eliminating the needless redundancy of two additional community centers. Please see Tab 13-02 for that documentation; this is an estimated savings in development costs of approximately $500,000 for this Phase only.  The combined savings from these two sources for this Phase only exceeds $1 million. </t>
  </si>
  <si>
    <t xml:space="preserve">Tindall Fields III qualifies for the maximum points for this scoring section.  There are 3 desirable activities within a 1.5 mile driving or walking distance of Tindall Fields III that qualify for 1 point, and 5  desirable activities within a .5 mile driving or walking distance that qualify for 2 points.  Our A/E team determined the Geocoordinates for our planned site entrance located on Nussbaum Avenue which is indicated on both the desirable certification and site plan. We have also used the DCA required Google Maps to measure each distance to our selected desirable activities.
There is an older unoccupied residential dwelling directly across the street from the proposed Tindall Fields III Site Entrance (less than 0.25 miles). Although deteriorated in nature, it does not per the QAP, "detract from an area's physical appearance, diminish living conditions and/or safety of the neighborhood, and/or decrease the marketability of the proposed site" (Scoring Section, Pg 6). 
Our position is supported by the Novogradac market study, which confirmed that this property does not impact the Tindall Fields/neighborhood from a marketability standpoint when they state that, "During our site inspection, we observed a few vacant single-family homes in the Subject’s neighborhood. These vacant structures will not negatively impact the performance of the Subject. The Subject will be a compatible use within the immediate neighborhood" (See Tab 05-01, Novogradac Market Study, Page 3).
Furthermore, it is the Macon Housing Authority/In-Fill Housing’s goal to improve the community, and we’ve agreed to mitigate the property by demolishing the vacant dwelling on it. As the mitigation will be completed by the applicant as opposed to a third party, the structure will be removed by the placed-in-service date for the project. As part of our documentation, a copy of the "Demolition Agreement and Release" for the property, is included at Tab 27-04-01. We have also included a letter from the MHA/In-Fill Housing CEO that confirms that we have both the “site control” and the necessary funds to complete the mitigation, per Tab 27-04-02.
To summarize, we are not claiming an undesirable property, but we are making improvements to the property in question within the 0.25 mile radius in our continued effort to improve the Tindall Heights community. 
</t>
  </si>
  <si>
    <t>Macon Transit Authority</t>
  </si>
  <si>
    <t>http://www.mta-mac.com/schedules.html</t>
  </si>
  <si>
    <t>478-803-2505</t>
  </si>
  <si>
    <t xml:space="preserve">Tindall Fields III qualifies for points for this scoring section because Kathleen Mathews and Mark Strickland attended the Southface online seminar titled “Green Building for Affordable Housing” on April 20, 2018.  Their Certificates of Participation are at Tab 29-03-02.  For Section V-B:  we will achieve EarthCraft multifamily certification, as indicated by the worksheet at Tab 29-03-01. Per the worksheet, our expected score is 116; the minimum scoring requirement is 100. 
After submitting draft architectural plans to our qualified energy modeler (Ed Foskey with Synergy Home Advantage), he concluded that we are eligible for the point designated to the High Performance Building Design for having a worst case HERS Index that is at least 15% lower than the ENERGY STAR Target Index. The reports can be seen at Tab 29-05-01 &amp; Tab 29-05-02. 
</t>
  </si>
  <si>
    <t>5.1.18</t>
  </si>
  <si>
    <t>5.20.14</t>
  </si>
  <si>
    <t>URP Page 20</t>
  </si>
  <si>
    <t>URP Pages 91-97; Pages 103-105</t>
  </si>
  <si>
    <t>URP Page 68 and Page 136</t>
  </si>
  <si>
    <t>URP Pages 27-63</t>
  </si>
  <si>
    <t>URP Pages 7,8,132</t>
  </si>
  <si>
    <t xml:space="preserve">Macon-Bibb County </t>
  </si>
  <si>
    <t>Government</t>
  </si>
  <si>
    <t>Completed in 2017</t>
  </si>
  <si>
    <t>Macon-Bibb County spent 2012 SPLOST (Special Purpose Local Option Sales Tax) funds in the amount of $2,473,129 for capital improvements at the Memorial Park located less than ½ mile from Tindall Fields III.  Of this, $2,301,900 was spent in the last three years with the vast majority of those expenditures occurring in 2016 and 2017. All improvements have now been completed.  Work included: storm drainage improvements, re-roofing and air conditioning the gymnasium, expanding the parking, rebuilding the swimming pool, adding a fitness/room and a brand new computer lab for after school use and tutoring, and so much more.   Please see Tab 32-02 and the sub-tabs that follow. In a nutshell:  in the last three years, $2.3 million in SPLOST funds were spent on recreation improvements upgrading the Bibb County Memorial Park which is located less than ½ mile from Tindall Fields III.</t>
  </si>
  <si>
    <t xml:space="preserve">Recreation, fitness, swimming, organized sports, outdoor events, social interaction, and a neighborhood’s “special events” are all part of a quality lifestyle; these same activities help determine the quality of a neighborhood’s living environment.  The 2018 Macon Bibb County Urban Redevelopment Plan at Tab 32-01-10 on Pages 7-8 focused on the recreational needs of the Urban Redevelopment Area and the various upgrades needed, planned and made, including the milestones reached at Memorial Park.   Memorial Park is now one of the very best in Macon and offers another excellent reason why low and moderate income families will want to live in Tindall Fields.  If Memorial Park had not been restored, if it had not received the total of $2.4 million investment from Macon-Bibb County, then the ultimate transformation of our Defined Neighborhood could not reach its fullest potential.  Now, Memorial Park encourages healthy living (with a new fitness center), shows kids how education (with the new computer center) can be fun, and will help provide for the recreational needs of the neighborhood for future generations.  </t>
  </si>
  <si>
    <t>Low income and single-parent families are often limited financially to enjoy or even have time for major sporting events, concerts, movies, or popular recreation venues.  Anyone who has taken their kids to SunTrust Park or Six Flags will attest to this; the cost for outings like these is prohibitive for many people.  However, at less than ½ mile from Tindall Fields, Memorial Park is a place where the Tindall Fields children will be able to relax, play organized sports, swim in the refurbished pool or just hang out in a supervised environment…all for free!  Who knows, but a future American swimmer in the 2032 Olympics may grow up in Tindall Fields…and she might get her first swimming lessons at Memorial Park!  Please see Tab 32-02 and the sub-tabs that follow.</t>
  </si>
  <si>
    <t xml:space="preserve">Tindall Fields III qualifies for the maximum points for this scoring section.  We have a fully-compliant, current and active Macon-Bibb Urban Redevelopment Plan (see Tab 32-01-10), our site is in QCT 105 as documented at Tab 32-01-01, and our Off-Site Capital Investment meets all of the DCA requirements at Tab 32-02-01 through 32-02-10. 
Our Macon-Bibb Urban Redevelopment Plan (our local government’s name for the Community Revitalization Plan) has a long history. The City of Macon adopted an Urban Redevelopment Plan in March 2011.  The City of Macon and Bibb County officially consolidated their two governments on January 1, 2014, and the newly-formed consolidated Macon-Bibb Commission thereafter adopted the City’s Plan with minor amendments in May 2014.  In April 2016, the Macon Bibb County Commission updated the Plan to incorporate other areas of the County (Tindall Heights was not affected by this update.) In May 2017, the Macon Bibb County Commission updated the Plan to ensure full compliance with the DCA 2017 QAP requirements and to acknowledge the new Community Transformation Plan that was just getting underway. The current Macon-Bibb Urban Redevelopment Plan (URP) was officially adopted by the Macon-Bibb County Commission on May 1, 2018 to document progress made with the URP activities during the last twelve months. Perhaps the most significant update was the completion of a “Blexting Survey” to help combat the presence of blight in the URP targeted area. Please see Tab 32-01-01 through 32-01-10 that we believe will document to DCA’s satisfaction that we have a complete, active, and ongoing Community Revitalization Plan.   Tab 32 demonstrates to DCA that our URP is much more than a “plan sitting on a shelf” and that numerous improvements are underway in Macon-Bibb as a result of the integrity of the Community Revitalization Plan process.  Reference is made to Mayor Reichert’s letter at Tab 32-01-07 that more specifically certifies to this.
</t>
  </si>
  <si>
    <t>478-752-5070</t>
  </si>
  <si>
    <t>www.maconhousing.com</t>
  </si>
  <si>
    <t>Boys and Girls Club</t>
  </si>
  <si>
    <t>Phillip Bryant</t>
  </si>
  <si>
    <t>478-621-4303</t>
  </si>
  <si>
    <t>www.bcccg.org</t>
  </si>
  <si>
    <t>pbryant@bgccg.org</t>
  </si>
  <si>
    <t>Macon-Bibb County Economic Opportunity Council, Inc.</t>
  </si>
  <si>
    <t>Sarita Hill</t>
  </si>
  <si>
    <t>478-738-3240</t>
  </si>
  <si>
    <t>www.maconbibbeoc.com</t>
  </si>
  <si>
    <t>shill@maconbibbeoc.com</t>
  </si>
  <si>
    <t xml:space="preserve">We have made substantial philanthropic contributions to the many entities providing services at the MHA-owned and MHA-operated Buck Melton Center.  As a result of the ongoing in-kind donations from the CBD through deeply-subsidized, below-market rents and our waiver of operational expenses (including all utilities, property management, maintenance costs and custodial service) since that time, these local nonprofit agencies have been able to use their scarce resources traditionally allocated for rent and administrative overhead toward providing meaningful onsite services to the residents of the Tindall Fields neighborhood instead.
The two organizations listed here are but two of the many local agencies, housed in the Buck Melton Center, doing great things for the Defined Neighborhood. </t>
  </si>
  <si>
    <t>Community Designations is N/A</t>
  </si>
  <si>
    <t xml:space="preserve">Tindall Fields III qualifies for the maximum 3 points for this scoring section because Tindall Fields III is part of a phased development.  There’s no hiding the fact that Tindall Fields III is the fourth and final phase of the Tindall redevelopment plan; please see Tab 36-01 documenting this. This means that we cannot qualify for points under QAP scoring section XII.A since, per that section of the 2018 QAP, “…only the second and third phase of a project may receive these points.” However, QAP scoring section XII.B on page 34 exempts PHA-sponsored developments by stating that “the following developments are not included in the analysis of previous completive funding cycles: phased public housing development properties.”  
Tab 36-02 has been expanded to document that Tindall Fields III is part of a phased public housing redevelopment, and we therefore qualify for points under scoring section XII.B, page 34.  The following documentation is provided to show that Tindall Fields III is part of a phased development:  Tab 36-02-01, HUD’s approval of MHA’s Demo-Dispo Plan, showing that MHA has site control for the entire Tindall site; and Tab 36-02-02, MHA and In-Fill Housing II entered into Options to ground lease Phases II-IV in 2016.
</t>
  </si>
  <si>
    <t>We hereby request this point per the 2018 QAP provisions.  We are claiming this point for Tindall Fields III only, since this is the only application submitted by the project team in 2018.</t>
  </si>
  <si>
    <t>This Tab is N/A.</t>
  </si>
  <si>
    <t>2041</t>
  </si>
  <si>
    <t xml:space="preserve">Tindall Fields III qualifies for the maximum points for the following reasons.  First, we have a Section 8 PBRA commitment from MHA for 25 Section 8 Project Based Vouchers for 20 years (38% of the 65 total units). Please see Tabs 01-03-01, Tab 26-01, and Tab 41-01 for this documentation. Second, the Owner/Developer team has also agreed to allocate a minimum of 15% of the total units for the targeted population preference in accordance with the DCA requirements for this section.  Third, in 2015, the MHA Board of Commissioners adopted a “landmark” admissions preference in accordance with DCA requirements where MHA will accept referrals from Georgia DBHDD for the highest admissions preference possible for a Section 8 program preference. In 2015 MHA submitted the required letter to HUD pursuant to DCA’s guidance at that year’s “Housing Finance and Development Update # 39”. Following that, HUD Fair Housing approved MHA’s admissions preference and by letter dated June 8, 2016 MHA now has all final HUD approvals needed to implement this Section 8 admissions preference. All of this information is found at Tab 41-02. 
Furthermore, although this Tab doesn’t require us to have MOAs with local service providers, we have obtained two:  one from the River Edge Behavioral Health Center and another one from Disability Connections. Please see Tab 41-02-02 and 41-02-03 for this supporting documentation. 
Clearly, In-Fill Housing has fully embraced the underlying philosophy of Integrated Supportive Housing, and Tindall Fields III will be fully-compliant with the DCA requirements for the Target Population Preference.   
</t>
  </si>
  <si>
    <t xml:space="preserve">Scoring Section A, Quality Education Areas, is N/A.
For Scoring Section B, Workforce Housing Need, Tindall Fields III qualifies for the maximum two points in this scoring section.  According to the US Census survey (enclosed at Tab 31-03), there are over 27,429 jobs within a two-mile radius of our property, an increase of over 1,000 jobs from last year, and which is over three times the 9,000 jobs required to meet the 50%-over-threshold requirement for Macon-Bibb.  Again, please see Tab 31-03 and Tab 31-04 for the required documentation.
</t>
  </si>
  <si>
    <t>Equity pricing is based on the preliminary commitment from Wells Fargo for federal and state tax credit equity and believed to be reflective of current market pricing.
There are no construction loan fees for the Construction/Perm loan from Macon-Bibb County. All commitments for the construction loan from Wells Fargo and constuction/perm. loan from Macon-Bibb County are documented at Tab 01-05. 
The 3.84% interest rate for Wells Fargo is based on May 2018  LIBOR rate plus 1.95% spread.</t>
  </si>
  <si>
    <t>MHA Utility Allowances (UAs) are used because of the MHA project-based vouchers.  As there is only one "Multifamily (MF)" UA designation under this program, the one "MF" schedule applies to all unit/building types.</t>
  </si>
  <si>
    <t xml:space="preserve">Asset management fees of $12,500 per year, escalating at 3% per year, as prescribed in the preliminary commitment letter from Wells Fargo.  As Wells Fargo proposes to serve as both the federal and state tax credit investor, the asset management fee covers both functions.
In the first year, the management fee is $39 per unit per month based on occupied units which is typical for a MHA managed property. </t>
  </si>
  <si>
    <t>Tindall Fields III meets Threshold approval because all of the Tindall Fields III units are reserved for family tenancy.</t>
  </si>
  <si>
    <t>Financial Literacy program with Operation Hope and partners</t>
  </si>
  <si>
    <t>Tindall Fields III meets Threshold approval because we commit to providing more than just the minimum number of DCA-required services.    In addition to these services, we have an MOU for financial literacy education for families served by Operation HOPE as documented at Tab 30-05 under the “Enriched Property Services” program.</t>
  </si>
  <si>
    <t>In-Fill Housing II, Inc/Macon-Bibb County Housing Authority</t>
  </si>
  <si>
    <t>Tindall Fields III qualifies for the maximum points for this scoring section for both Sections A and B.  For Section XVII. A, Tindall Fields III qualifies for the maximum points because we have a loan from Macon-Bibb County and its Urban Development Authority in the amount of $1,400,000.  Our total qualifying sources therefore exceed 10% of our TDC. The appropriate financing documents and related material are all found at Tab 40-01-01; this documentation shows that this Macon-Bibb County loan is in full compliance with QAP Scoring section XVII. 
For Section XVII. B,  Tindall Fields III qualifies for the points for this section because we have an executed Option to Ground Lease from the Macon-Bibb Housing Authority.  These ground lease documents are found at Tab 08-01 and Tab 40-02-01.  This Option is in full compliance with the DCA requirements in QAP Scoring Section XVII.B.</t>
  </si>
  <si>
    <t>Macon-Bibb Co. Urban Development Authority</t>
  </si>
  <si>
    <t>4875 Riverside Drive, Suite 200</t>
  </si>
  <si>
    <t>URP Pages 66-67, 68, 136-138</t>
  </si>
  <si>
    <t xml:space="preserve"> Tindall Fields III qualifies for the maximum points for this scoring section. In 2017 the Macon community created a Community Transformation Plan, which received DCA’s approval as part of its allocation of credits for Tindall Fields II (DCA 17-028).  The Macon-Bibb political and local leaders in education, health, transportation, and employment came together thanks to the leadership of Mayor Robert Reichert, the United Way of Central Georgia (our Community Quarterback at the time) and MHA/In-Fill Housing (the Community Based Developer).  The 2017 Community Transformation Plan not only identified existing barriers to available resources but it has also led to the creation of several new initiatives as a direct result of the Plan’s development.  There were many creative responses where old problems met new opportunities including:  a) a Healthy Housing Initiative,  b) a “Leader in Me” program established for the Defined Neighborhood’s Elementary School and funded by a local family foundation, c) an Innovative Project Concept developed by Mercer University, targeting at-risk middle school kids and focusing on mentoring and whole-family financial literacy where the Bibb County School District, the Mid-South Federal Credit Union and Operation HOPE are major partners, d) a United Way-sponsored 211 Program, and so much more as described in the 2017 Community Transformation Plan.  
Since last year’s Tindall Fields II (DCA 17-028) is the second of three Tindall family phases, we have both “reached back” to include the Tindall Fields I (DCA 16-043) residents and we are “reaching forward” this year with Tindall Fields III, as well.  Including both Tindall Fields I and Tindall Fields III as part of the Transformation Plan is not genius on our part, its simple common sense. It in effect gives our various new initiatives a one year head start compared to other 2017 projects, since DCA will see our results from these new initiatives one year earlier than expected with the inclusion of Tindall Fields I.  Therefore, with three Tindall Fields developments, DCA will see both earlier results and program data for a longer period of time when compared to more typical community transformation projects.  
For Scoring Section A.4, we have received two new and significant funding commitments in full compliance with the DCA requirements for a Community Improvement Fund. First, the Community Foundation of Central Georgia has pledged $50,000 in scholarships to the future residents of Tindall Fields III and the Defined Neighborhood. This is an incredibly significant new contribution that speaks volumes about the community’s belief that what is taking place at Tindall is exciting and worth supporting. Second, we have a $5,000 commitment from the Middle Georgia State University Foundation that will also be earmarked for college scholarships for those aspiring students from the Defined Neighborhood.  Please see Tab 33-04-01 through 33-04-03.
IX.A.2.a):  Please note that although the Transformation Community Certificate at II.2.B requests philanthropic activity between 5/25/14 and 5/23/18, we have provided information from 5/25/15 through 5/23/18, as required by the QAP, Scoring Page 26, under “Philanthropic Activities”, the second bulleted item. 
For Scoring Section B, Community Quarterback Board,  our Community Quarterback Board exceeds all of the DCA requirements.  Please see Tab 33-05-05 which documents that 1/3 of the CQB members represent the low income cohort, while another 1/3 of the CQB members represent local government. Furthermore, this Board has already had its inaugural meeting and the minutes of that meeting along with meeting handouts, Agenda, sign-in sheet, and photos are all included at Tab 33-05-05. To carry the football analogy just a bit further, the Community Quarterback Board is already moving the ball downfield!
</t>
  </si>
  <si>
    <t xml:space="preserve">•Property taxes &amp; Insurance were provided by the relevant parties; Tax Assesor's office &amp; Insurance Agent. Please see Tab 01-01-02.
•MHA is providing Project Based Vouchers for 25 of the 65 units.   Rents can therefore exceed the Gross Rent Limit (GRL) if there is a PBRA contract for 10 years or more, per Pg 24 of the Core App. instructions.  Our PBRA contract with the MHA is for 20 years, per Tabs 01-03-01 and 26-01.  Therefore, the GRL can be based on the lesser of a) the 2018 FMRs for Macon-Bibb County times 110% minus the Utility Allowance, or b) market rents (the Section 8 "rent reasonableness test".) This is the maximum rent for PBV units in Qualified Census Tracts, per the Project Based Voucher program Final Rule, 24 CFR 983.301(b).  The Novogradac Rent Letter dated May 7, 2018 (Tab 5) established the market rents ("rent reasonableness") at $700 and $825 for the 2 and 3 BR units, respectively.  Macon-Housing Authority made the determination to go with slightly lower rents to be more consistent with the projected rents for the prior two family phases, Tindall Fields I (2016-043) and Tindall Fields II (2017-027). The rents were set at $630 for 2-BR and $800 for 3BR. This rent letter from MHA can be found at Tab 05-01-03. 
•We are using the 2018 FMRs and the 2018 MHA Utility Allowances since both were in effect on January 1, 2018. 
•Water and sewer costs will be paid by the residents.  The water cost shown is for office, common area usage, etc.
There are some shared savings by having one community building; for example we will require a part-time manager for this property. However, since the community building and entire family development will serve 194 families, we are expecting increased usage to our amenities and site. 
As part of the $5000 supportive services budget above,  $2328 will be used to run our "Enriched Property Services" mentoring &amp; financial literacy program. Thanks to the generousity of our partners who are donating financial and in-kind contributions, this is a very reasonable low cost to Tindall Fields III. </t>
  </si>
  <si>
    <t>Construction Loan Fee:  0.5% fee on a projected $1.5 million Wells Fargo construction loan= $7500.  The Macon-Bibb UDA construction loan does not carry a loan fee.
The Construction interest is determined assuming a 18-month basis, for both Wells Fargo and Macon-Bibb UDA construction loans, with an average 50% of the loan amounts being drawn down throughout the term. The 18-month assumption is based on experience with earlier phases and other developments with Wells Fargo, drawing down loans after initial equity pay-ins, and paid off with later equity pay-ins. 
Since we will have a ground lease with the Macon Housing Authority, there are no land acquisition costs.
Professional fees and similar costs are based on our historical experience.
Construction hard costs are based on current market conditions and historial experience of our previous Tindall projects.</t>
  </si>
  <si>
    <t xml:space="preserve">Tindall Fields III meets Threshold approval because we submitted a Pre-Application on March 8, 2018 and received a Qualified determination letter from DCA dated April 30, 2018.  There have been no changes in the Project Team since then.  
B. Compliance: Tindall Fields III meets threshold based on In-Fill Housing II, Inc.’s and its related entities’ longstanding exemplary compliance record. 
Effective May 21, 2018, one 8823 is currently open at Kingston Gardens Apartments (2005-048) due to a unit fire.  The unit is currently under Casualty Loss and all LIHTC due diligence has been completed.  The circumstances are as follows:   Unit E2 was inspected during a DCA review on 11/8/17, and all EH&amp;S items were cured within the allotted 24 hour period.  However, prior to receiving the final DCA report on 1/22/18, the unit incurred serious fire damage on 1/3/2018.  We immediately began the process of bringing the unit back  on line, the unit was demoed and prepped by 2/20/18; however, despite our best efforts we were unable to completely restore the unit by the review deadline of 3/9/18.  At this time, we fully expect our contractors to complete all of the work and restore the unit to habitability by 6/15/18, at which time DCA has informed us that they will submit a corrected 8823 to the IRS.  
Despite this outstanding item, we have successfully developed and own sixteen properties in Georgia. Please see Tab 43-02-00 for Compliance History Summary. </t>
  </si>
  <si>
    <t xml:space="preserve">• I. Application Completeness:  The Tindall Fields III application is complete and properly organized in full compliance with QAP Scoring Section I, Application Completeness. 
• II. Deeper Targeting/Rent/Income Restrictions:   Item II.A is N/A.   Tindall Fields III qualifies for these points because for Item II.B, 25 of the 65 units (38%) will have Project Based Vouchers from the Macon Bibb Housing Authority for a term of 20 years.  This 38% of PBV units exceeds the DCA minimum requirement of 30% for points in this category.  The 20 year term exceeds the DCA 10 year minimum term as well. Please see Tab 1-03-01, Tab 26-01 and Tab 41-01.
•IV.Community Transportation: Tindall Fields III qualifies for the maximum points for this scoring section because we have complied with all of the Flexible Pool transportation questions listed above.  Although not required by DCA this year, access by public sidewalks along Nussbaum Avenue and Plant Street is already in place to the two existing Macon-Bibb Transit Authority transit stops located at the intersection of Plant Street and Felton Avenue.  Please see the Google maps documenting this at Tab 28-02-02.  The transportation website, www.mta-mac.com is a very informative website, with contact information, pricing and current routes available. It also provides an opportunity for the viewer to download a map with pricing, route and schedule relevant to their desired bus stop. 
• VI. Enriched Property Services: Tindall Fields III qualifies for the maximum points for this scoring category. For our Enriched Property Services, we have selected “Education Outcomes.”  Our Investing in Families’ Futures (IFF) program meets if not exceeds all of the DCA requirements, including the requirements for innovativeness and replicability. This IFF program qualified with DCA in 2017 as an “Innovative Housing Concept”, but we realize that each year’s scoring stands alone.  We have therefore “refreshed” the two core components of the IFF program to make sure that IFF fully complies with the 2018 DCA QAP requirements.  All of the parties from 2017 are still committed to IFF and we have updated these MOUs to reflect their continued interest in providing the required mentoring and financial counseling services. As a quick reminder, these parties include Mercer University, the Bibb County School District, Mid-South Federal Credit Union, Operation HOPE, and the Griffith Family Foundation. Please see Tab 30-01 for the answers to the specific questions posed there; 30-01 and the other sub-tabs at Tab 30 respond fully to the other DCA requirements. 
• X. Stable Communities: This section is N/A
•XIII.Extended Affordability Commitment: A. Tindall Fields III qualifies for the maximum points in this section because we agree to forego the cancellation option for at least 5 years after the close of the compliance period.  Section B is N/A.
•XIV. Exceptional PHA: Tindall Fields III qualifies for the maximum points under this scoring section.  This is the only application from the project team requesting these points in this funding round, and the required PHA Assessment form is filed at Tab 38-04 and Tab 38-05. Macon Housing Authority is the parent entity of In-Fill Housing II, Inc., its non-profit development affiliate. MHA/In-Fill has a strong, compelling case for these points, with its proven and battle-tested 18-year history in developing 19 DCA-sponsored affordable housing developments.  Equally impressive however is MHA’s support of, and partnerships with, local organizations whose mission it is to help improve the lives of others. MHA has taken its “community-building mission” very seriously over its 75-year history, and  has learned how, when and why to collaborate with other like-minded organizations long before it was popular.  Our story is found at Tab 38-04.
•XX. Compliance: Tindall Fields III qualifies for the full 10 points for this scoring section, based on In-Fill Housing II, Inc.’s and its related entities’ longstanding exemplary compliance record. 
Effective May 21, 2018, one 8823 is currently open at Kingston Gardens Apartments (2005-048) due to a unit fire.  The unit is currently under Casualty Loss and all LIHTC due diligence has been completed.  The circumstances are as follows:   Unit E2 was inspected during a DCA review on 11/8/17, and all EH&amp;S items were cured within the allotted 24 hour period.  However, prior to receiving the final DCA report on 1/22/18, the unit incurred serious fire damage on 1/3/2018.  We immediately began the process of bringing the unit back  on line, the unit was demoed and prepped by 2/20/18; however, despite our best efforts we were unable to completely restore the unit by the review deadline of 3/9/18.  At this time, we fully expect our contractors to complete all of the work and restore the unit to habitability by 6/15/18, at which time DCA has informed us that they will submit a corrected 8823 to the IRS.  
Despite this outstanding item, we have successfully developed and own sixteen properties in Georgia. Please see Tab 43-02-00 for Compliance History Summary. 
</t>
  </si>
  <si>
    <t>2018-013</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</si>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</sst>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746">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9" fillId="0" borderId="0" xfId="0" applyFont="1" applyProtection="1"/>
    <xf numFmtId="0" fontId="169"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2"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0"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5" fillId="0" borderId="110" xfId="0"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6"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5"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6" fillId="0" borderId="0" xfId="0" applyFont="1" applyProtection="1"/>
    <xf numFmtId="0" fontId="186" fillId="0" borderId="0" xfId="0" applyFont="1" applyFill="1" applyProtection="1"/>
    <xf numFmtId="0" fontId="185"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1"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4" fillId="0" borderId="0" xfId="0" applyFont="1" applyFill="1" applyProtection="1"/>
    <xf numFmtId="0" fontId="195" fillId="0" borderId="0" xfId="0" applyFont="1" applyFill="1" applyProtection="1"/>
    <xf numFmtId="38" fontId="7" fillId="13" borderId="18" xfId="0" applyNumberFormat="1" applyFont="1" applyFill="1" applyBorder="1" applyAlignment="1" applyProtection="1">
      <alignment horizontal="center" vertical="top"/>
    </xf>
    <xf numFmtId="0" fontId="196"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90" fillId="0" borderId="81" xfId="0" applyNumberFormat="1" applyFont="1" applyBorder="1" applyAlignment="1" applyProtection="1">
      <alignment horizontal="center" vertical="center" wrapText="1"/>
    </xf>
    <xf numFmtId="38" fontId="199"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0" fillId="0" borderId="0" xfId="0" applyFont="1" applyAlignment="1" applyProtection="1">
      <alignment horizontal="right" vertical="center"/>
    </xf>
    <xf numFmtId="0" fontId="204"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90" fillId="0" borderId="0" xfId="0" applyNumberFormat="1" applyFont="1" applyFill="1" applyAlignment="1" applyProtection="1">
      <alignment horizontal="center" vertical="center"/>
    </xf>
    <xf numFmtId="38" fontId="19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5"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2"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1"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9"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98" fillId="0" borderId="0" xfId="0" applyFont="1" applyFill="1" applyProtection="1"/>
    <xf numFmtId="0" fontId="175"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5"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8" fillId="0" borderId="0" xfId="13" applyFont="1" applyAlignment="1">
      <alignment vertical="center"/>
    </xf>
    <xf numFmtId="0" fontId="4"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12" fillId="0" borderId="0" xfId="0" applyFont="1"/>
    <xf numFmtId="0" fontId="211" fillId="0" borderId="0" xfId="0" applyFont="1"/>
    <xf numFmtId="38" fontId="211" fillId="0" borderId="0" xfId="0" applyNumberFormat="1" applyFont="1"/>
    <xf numFmtId="164" fontId="211" fillId="0" borderId="0" xfId="1" applyNumberFormat="1" applyFont="1"/>
    <xf numFmtId="43" fontId="211" fillId="0" borderId="0" xfId="0" applyNumberFormat="1" applyFont="1"/>
    <xf numFmtId="0" fontId="2" fillId="10" borderId="0" xfId="12" applyFont="1" applyFill="1"/>
    <xf numFmtId="10" fontId="213" fillId="10" borderId="0" xfId="0" applyNumberFormat="1" applyFont="1" applyFill="1"/>
    <xf numFmtId="0" fontId="211"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8"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4" fillId="0" borderId="0" xfId="0" quotePrefix="1" applyNumberFormat="1" applyFont="1" applyFill="1" applyAlignment="1" applyProtection="1">
      <alignment vertical="center"/>
    </xf>
    <xf numFmtId="0" fontId="40" fillId="0" borderId="0" xfId="0" applyFont="1" applyFill="1" applyAlignment="1" applyProtection="1">
      <alignment horizontal="center" vertical="center" wrapText="1"/>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left" vertical="center"/>
    </xf>
    <xf numFmtId="0" fontId="7" fillId="0" borderId="0" xfId="0" applyFont="1" applyFill="1" applyAlignment="1" applyProtection="1">
      <alignment horizontal="center"/>
    </xf>
    <xf numFmtId="0" fontId="3" fillId="0" borderId="0" xfId="0" applyFont="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justify" vertical="top" wrapText="1"/>
    </xf>
    <xf numFmtId="0" fontId="12" fillId="0" borderId="0" xfId="0" applyFont="1" applyFill="1" applyAlignment="1" applyProtection="1">
      <alignment horizontal="center"/>
    </xf>
    <xf numFmtId="49" fontId="90" fillId="0" borderId="0" xfId="0" applyNumberFormat="1" applyFont="1" applyAlignment="1" applyProtection="1">
      <alignment horizontal="left" vertical="center"/>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91" fillId="0" borderId="0" xfId="0" applyFont="1" applyFill="1" applyAlignment="1" applyProtection="1">
      <alignment horizontal="left"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5" fillId="0" borderId="0" xfId="0" applyFont="1" applyFill="1" applyBorder="1" applyAlignment="1" applyProtection="1">
      <alignment vertical="top" wrapText="1"/>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215" fillId="0" borderId="0" xfId="0" applyFont="1" applyFill="1" applyBorder="1" applyAlignment="1" applyProtection="1">
      <alignment horizontal="center"/>
    </xf>
    <xf numFmtId="0" fontId="216"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4"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9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214" fillId="0" borderId="0" xfId="0" applyFont="1" applyFill="1" applyBorder="1" applyAlignment="1" applyProtection="1">
      <alignment vertical="center"/>
    </xf>
    <xf numFmtId="0" fontId="86" fillId="0" borderId="0" xfId="0" quotePrefix="1" applyFont="1" applyFill="1" applyBorder="1" applyAlignment="1" applyProtection="1">
      <alignment horizontal="center"/>
    </xf>
    <xf numFmtId="0" fontId="102" fillId="0" borderId="0" xfId="0" applyFont="1" applyFill="1" applyBorder="1" applyAlignment="1" applyProtection="1">
      <alignment wrapText="1"/>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96" fillId="0" borderId="0" xfId="0" applyFont="1" applyFill="1" applyBorder="1" applyAlignment="1" applyProtection="1"/>
    <xf numFmtId="0" fontId="214"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19"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0"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0" fillId="0" borderId="0" xfId="0" applyFont="1" applyFill="1" applyBorder="1" applyProtection="1"/>
    <xf numFmtId="0" fontId="220"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3" fontId="102" fillId="0" borderId="0" xfId="1" applyNumberFormat="1" applyFont="1" applyFill="1" applyBorder="1" applyAlignment="1" applyProtection="1">
      <alignment horizontal="center" vertical="center"/>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214" fillId="0" borderId="0" xfId="0" applyFont="1" applyFill="1" applyBorder="1" applyAlignment="1" applyProtection="1"/>
    <xf numFmtId="0" fontId="87" fillId="0" borderId="0" xfId="0" applyFont="1" applyFill="1" applyBorder="1" applyAlignment="1" applyProtection="1">
      <alignment vertical="center"/>
    </xf>
    <xf numFmtId="6" fontId="102" fillId="0" borderId="0" xfId="0" applyNumberFormat="1" applyFont="1" applyFill="1" applyBorder="1" applyAlignment="1" applyProtection="1">
      <alignment vertical="center"/>
    </xf>
    <xf numFmtId="0" fontId="214" fillId="0" borderId="0" xfId="0" applyFont="1" applyFill="1" applyBorder="1" applyAlignment="1" applyProtection="1">
      <alignment vertical="top" wrapText="1"/>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223" fillId="0" borderId="0" xfId="6" applyFont="1" applyFill="1" applyBorder="1" applyAlignment="1" applyProtection="1">
      <alignment vertical="center"/>
    </xf>
    <xf numFmtId="0" fontId="86"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4" fillId="0" borderId="0" xfId="0" applyFont="1" applyFill="1" applyBorder="1" applyAlignment="1" applyProtection="1">
      <alignment horizontal="right" vertical="center"/>
    </xf>
    <xf numFmtId="37" fontId="102" fillId="0" borderId="0" xfId="0" applyNumberFormat="1" applyFont="1" applyFill="1" applyBorder="1" applyAlignment="1" applyProtection="1">
      <alignment vertical="center"/>
    </xf>
    <xf numFmtId="0" fontId="92" fillId="0" borderId="0" xfId="0" applyFont="1" applyFill="1" applyBorder="1" applyAlignment="1" applyProtection="1"/>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4"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14"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3" fillId="0" borderId="0" xfId="0" applyFont="1" applyFill="1" applyBorder="1" applyAlignment="1" applyProtection="1">
      <alignment vertical="center"/>
    </xf>
    <xf numFmtId="0" fontId="224" fillId="0" borderId="0" xfId="0" quotePrefix="1" applyFont="1" applyFill="1" applyBorder="1" applyAlignment="1" applyProtection="1">
      <alignment vertical="center"/>
    </xf>
    <xf numFmtId="3" fontId="214" fillId="0" borderId="0" xfId="0" applyNumberFormat="1" applyFont="1" applyFill="1" applyBorder="1" applyAlignment="1" applyProtection="1">
      <alignment vertical="center"/>
    </xf>
    <xf numFmtId="4" fontId="214" fillId="0" borderId="0" xfId="0" applyNumberFormat="1" applyFont="1" applyFill="1" applyBorder="1" applyAlignment="1" applyProtection="1">
      <alignment vertical="center"/>
    </xf>
    <xf numFmtId="0" fontId="223" fillId="0" borderId="0" xfId="0" applyFont="1" applyFill="1" applyBorder="1" applyAlignment="1" applyProtection="1">
      <alignment horizontal="center" vertical="center"/>
    </xf>
    <xf numFmtId="9" fontId="214"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164" fontId="86" fillId="0" borderId="0" xfId="1" applyNumberFormat="1" applyFont="1" applyFill="1" applyBorder="1" applyAlignment="1" applyProtection="1">
      <alignment vertical="center" wrapText="1"/>
    </xf>
    <xf numFmtId="0" fontId="218"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0" fontId="225"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164" fontId="225"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4" fillId="0" borderId="0" xfId="0" applyNumberFormat="1" applyFont="1" applyFill="1" applyBorder="1" applyAlignment="1" applyProtection="1">
      <alignment horizontal="center"/>
    </xf>
    <xf numFmtId="37" fontId="214"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22" fillId="0" borderId="0" xfId="0" applyFont="1" applyFill="1" applyBorder="1" applyAlignment="1" applyProtection="1">
      <alignment vertical="top"/>
    </xf>
    <xf numFmtId="0" fontId="222" fillId="0" borderId="0" xfId="0" applyFont="1" applyFill="1" applyBorder="1" applyAlignment="1" applyProtection="1">
      <alignment vertical="center"/>
    </xf>
    <xf numFmtId="4" fontId="222" fillId="0" borderId="0" xfId="1" applyNumberFormat="1" applyFont="1" applyFill="1" applyBorder="1" applyAlignment="1" applyProtection="1">
      <alignment horizontal="right" vertical="center"/>
    </xf>
    <xf numFmtId="171" fontId="220" fillId="0" borderId="0" xfId="0" applyNumberFormat="1" applyFont="1" applyFill="1" applyBorder="1" applyAlignment="1" applyProtection="1">
      <alignment horizontal="left" vertical="center"/>
    </xf>
    <xf numFmtId="4" fontId="222" fillId="0" borderId="0" xfId="1" applyNumberFormat="1" applyFont="1" applyFill="1" applyBorder="1" applyAlignment="1" applyProtection="1">
      <alignment vertical="center"/>
    </xf>
    <xf numFmtId="171" fontId="220" fillId="0" borderId="0" xfId="0" applyNumberFormat="1" applyFont="1" applyFill="1" applyBorder="1" applyAlignment="1" applyProtection="1">
      <alignment vertical="center"/>
    </xf>
    <xf numFmtId="4" fontId="22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0" fillId="0" borderId="0" xfId="0" applyFont="1" applyFill="1" applyBorder="1" applyAlignment="1" applyProtection="1">
      <alignment horizontal="center" vertical="center"/>
    </xf>
    <xf numFmtId="37" fontId="222"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horizontal="right" vertical="center"/>
    </xf>
    <xf numFmtId="0" fontId="222"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22"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5"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5"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8" fillId="0" borderId="0" xfId="0" applyFont="1" applyFill="1" applyBorder="1" applyAlignment="1" applyProtection="1">
      <alignment horizontal="left" vertical="top"/>
    </xf>
    <xf numFmtId="0" fontId="226" fillId="0" borderId="0" xfId="0" applyFont="1" applyFill="1" applyBorder="1" applyAlignment="1" applyProtection="1">
      <alignment horizontal="righ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28" fillId="0" borderId="0" xfId="0" applyFont="1" applyFill="1" applyBorder="1" applyAlignment="1" applyProtection="1">
      <alignment horizontal="left" vertical="center"/>
    </xf>
    <xf numFmtId="0" fontId="95" fillId="0" borderId="0" xfId="0" applyFont="1" applyFill="1" applyBorder="1" applyAlignment="1" applyProtection="1">
      <alignment vertical="center" wrapText="1"/>
    </xf>
    <xf numFmtId="38" fontId="214" fillId="0" borderId="0" xfId="0" applyNumberFormat="1" applyFont="1" applyFill="1" applyBorder="1" applyAlignment="1" applyProtection="1">
      <alignment vertical="center"/>
    </xf>
    <xf numFmtId="0" fontId="214" fillId="0" borderId="0" xfId="0" applyFont="1" applyFill="1" applyBorder="1" applyAlignment="1" applyProtection="1">
      <alignment vertical="top"/>
    </xf>
    <xf numFmtId="164" fontId="21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vertical="center" wrapText="1"/>
    </xf>
    <xf numFmtId="0" fontId="230" fillId="0" borderId="0" xfId="13" applyFont="1" applyFill="1" applyBorder="1" applyAlignment="1" applyProtection="1">
      <alignment vertical="center"/>
    </xf>
    <xf numFmtId="0" fontId="92" fillId="0" borderId="0" xfId="13" applyFont="1" applyFill="1" applyBorder="1" applyProtection="1"/>
    <xf numFmtId="0" fontId="231" fillId="0" borderId="0" xfId="13" applyFont="1" applyFill="1" applyBorder="1" applyAlignment="1" applyProtection="1">
      <alignment vertical="top" wrapText="1"/>
    </xf>
    <xf numFmtId="0" fontId="83" fillId="0" borderId="0" xfId="13" applyFont="1" applyFill="1" applyBorder="1" applyAlignment="1" applyProtection="1">
      <alignment vertical="top" wrapText="1"/>
    </xf>
    <xf numFmtId="0" fontId="232"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95" fillId="0" borderId="0" xfId="13" applyFont="1" applyFill="1" applyBorder="1" applyProtection="1"/>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4"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20"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33" fillId="0" borderId="0" xfId="0" applyFont="1" applyFill="1" applyBorder="1" applyProtection="1"/>
    <xf numFmtId="0" fontId="83"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83" fillId="0" borderId="0" xfId="0" applyFont="1" applyFill="1" applyBorder="1" applyAlignment="1" applyProtection="1"/>
    <xf numFmtId="0" fontId="83" fillId="0" borderId="0" xfId="0" applyFont="1" applyFill="1" applyBorder="1" applyAlignment="1" applyProtection="1">
      <alignment horizontal="center"/>
    </xf>
    <xf numFmtId="0"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5" fillId="0" borderId="0" xfId="0" applyFont="1" applyFill="1" applyBorder="1" applyAlignment="1" applyProtection="1">
      <alignment wrapText="1"/>
    </xf>
    <xf numFmtId="0" fontId="205" fillId="0" borderId="0" xfId="0" applyFont="1" applyFill="1" applyBorder="1" applyAlignment="1" applyProtection="1">
      <alignment horizontal="center" wrapText="1"/>
    </xf>
    <xf numFmtId="0" fontId="92" fillId="0" borderId="0" xfId="0" applyFont="1" applyFill="1" applyBorder="1" applyAlignment="1" applyProtection="1">
      <alignment vertical="center" wrapText="1"/>
    </xf>
    <xf numFmtId="0" fontId="205" fillId="0" borderId="0" xfId="0" applyFont="1" applyFill="1" applyBorder="1" applyAlignment="1" applyProtection="1">
      <alignment textRotation="90" wrapText="1"/>
    </xf>
    <xf numFmtId="0" fontId="205"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5" fillId="0" borderId="0" xfId="0" applyFont="1" applyFill="1" applyBorder="1" applyAlignment="1" applyProtection="1">
      <alignment horizontal="center" vertical="center" wrapText="1"/>
    </xf>
    <xf numFmtId="0" fontId="205" fillId="0" borderId="0" xfId="0" applyFont="1" applyFill="1" applyBorder="1" applyAlignment="1" applyProtection="1">
      <alignment vertical="center"/>
    </xf>
    <xf numFmtId="0" fontId="228" fillId="0" borderId="0" xfId="0"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205"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83" fillId="0" borderId="0" xfId="0" applyNumberFormat="1" applyFont="1" applyFill="1" applyBorder="1" applyAlignment="1" applyProtection="1">
      <alignment horizont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95" fillId="0" borderId="0" xfId="0" applyFont="1" applyFill="1" applyBorder="1" applyAlignment="1" applyProtection="1">
      <alignment horizontal="left" vertical="center" wrapText="1"/>
    </xf>
    <xf numFmtId="0" fontId="83" fillId="0" borderId="0" xfId="0" applyNumberFormat="1" applyFont="1" applyFill="1" applyBorder="1" applyAlignment="1" applyProtection="1">
      <alignment horizontal="center" vertical="center" wrapText="1"/>
    </xf>
    <xf numFmtId="0" fontId="23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5"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5" fillId="0" borderId="0" xfId="0" applyFont="1" applyFill="1" applyBorder="1" applyAlignment="1" applyProtection="1">
      <alignment horizontal="center"/>
    </xf>
    <xf numFmtId="0" fontId="205" fillId="0" borderId="0" xfId="0" applyFont="1" applyFill="1" applyBorder="1" applyAlignment="1" applyProtection="1"/>
    <xf numFmtId="0" fontId="205"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7"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5" fillId="0" borderId="0" xfId="0" applyFont="1" applyFill="1" applyBorder="1" applyProtection="1"/>
    <xf numFmtId="164" fontId="96" fillId="0" borderId="0" xfId="0" applyNumberFormat="1" applyFont="1" applyFill="1" applyBorder="1" applyAlignment="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7" fillId="0" borderId="0" xfId="0" applyFont="1" applyFill="1" applyBorder="1" applyProtection="1"/>
    <xf numFmtId="0" fontId="205" fillId="0" borderId="0" xfId="1" applyNumberFormat="1" applyFont="1" applyFill="1" applyBorder="1" applyAlignment="1" applyProtection="1">
      <alignment horizontal="center"/>
    </xf>
    <xf numFmtId="0" fontId="23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3" fontId="96" fillId="0" borderId="0" xfId="10" applyNumberFormat="1" applyFont="1" applyFill="1" applyBorder="1" applyAlignment="1" applyProtection="1">
      <alignment vertical="center"/>
    </xf>
    <xf numFmtId="44" fontId="92" fillId="0" borderId="0" xfId="0" applyNumberFormat="1" applyFont="1" applyFill="1" applyBorder="1" applyProtection="1"/>
    <xf numFmtId="0" fontId="185" fillId="0" borderId="0" xfId="0" applyFont="1" applyFill="1" applyBorder="1" applyAlignment="1" applyProtection="1"/>
    <xf numFmtId="0" fontId="236"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7"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5"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39" fillId="0" borderId="0" xfId="0" applyNumberFormat="1" applyFont="1" applyFill="1" applyBorder="1" applyAlignment="1" applyProtection="1"/>
    <xf numFmtId="0" fontId="219" fillId="0" borderId="0" xfId="0" applyFont="1" applyFill="1" applyBorder="1" applyAlignment="1" applyProtection="1"/>
    <xf numFmtId="0" fontId="219"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5"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0" fillId="0" borderId="0" xfId="0" applyFont="1" applyFill="1" applyBorder="1" applyProtection="1"/>
    <xf numFmtId="0" fontId="228" fillId="0" borderId="0" xfId="0" applyFont="1" applyFill="1" applyBorder="1" applyAlignment="1" applyProtection="1">
      <alignment vertical="center" wrapText="1"/>
    </xf>
    <xf numFmtId="0" fontId="232" fillId="0" borderId="0" xfId="0" applyFont="1" applyFill="1" applyBorder="1" applyAlignment="1" applyProtection="1">
      <alignment vertical="center"/>
    </xf>
    <xf numFmtId="0" fontId="233" fillId="0" borderId="0" xfId="0" applyFont="1" applyFill="1" applyBorder="1" applyAlignment="1" applyProtection="1">
      <alignment horizontal="left" vertical="top"/>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5" fillId="0" borderId="0" xfId="0" applyFont="1" applyFill="1" applyBorder="1" applyAlignment="1" applyProtection="1">
      <alignment vertical="top"/>
    </xf>
    <xf numFmtId="0" fontId="185"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5" fillId="0" borderId="0" xfId="0" applyFont="1" applyFill="1" applyBorder="1" applyAlignment="1" applyProtection="1">
      <alignment horizontal="right" vertical="top" wrapText="1"/>
    </xf>
    <xf numFmtId="0" fontId="93" fillId="0" borderId="0" xfId="0" applyFont="1" applyFill="1" applyBorder="1" applyAlignment="1" applyProtection="1">
      <alignment vertical="top" wrapText="1"/>
    </xf>
    <xf numFmtId="0" fontId="237" fillId="0" borderId="0" xfId="0" applyFont="1" applyFill="1" applyBorder="1" applyAlignment="1" applyProtection="1">
      <alignment vertical="top"/>
    </xf>
    <xf numFmtId="0" fontId="237"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05" fillId="0" borderId="0" xfId="0" applyNumberFormat="1" applyFont="1" applyFill="1" applyBorder="1" applyAlignment="1" applyProtection="1">
      <alignment vertical="center" wrapText="1"/>
    </xf>
    <xf numFmtId="0" fontId="228" fillId="0" borderId="0" xfId="0" applyFont="1" applyFill="1" applyBorder="1" applyAlignment="1" applyProtection="1">
      <alignment vertical="top" wrapText="1"/>
    </xf>
    <xf numFmtId="0" fontId="185" fillId="0" borderId="0" xfId="0" applyFont="1" applyFill="1" applyBorder="1" applyAlignment="1" applyProtection="1">
      <alignment horizontal="center" vertical="center"/>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0" fillId="0" borderId="0" xfId="0" applyNumberFormat="1" applyFont="1" applyFill="1" applyBorder="1" applyAlignment="1" applyProtection="1">
      <alignment vertical="center" wrapText="1"/>
    </xf>
    <xf numFmtId="0" fontId="242"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7" fillId="0" borderId="0" xfId="0" applyNumberFormat="1" applyFont="1" applyFill="1" applyBorder="1" applyAlignment="1" applyProtection="1">
      <alignment horizontal="center" vertical="top"/>
    </xf>
    <xf numFmtId="0" fontId="186" fillId="0" borderId="0" xfId="0" applyFont="1" applyFill="1" applyBorder="1" applyAlignment="1" applyProtection="1">
      <alignment horizontal="justify" vertical="top" wrapText="1"/>
    </xf>
    <xf numFmtId="0" fontId="237" fillId="0" borderId="0" xfId="0" applyFont="1" applyFill="1" applyBorder="1" applyAlignment="1" applyProtection="1">
      <alignment horizontal="center" vertical="top"/>
    </xf>
    <xf numFmtId="3" fontId="220" fillId="0" borderId="0" xfId="0" applyNumberFormat="1" applyFont="1" applyFill="1" applyBorder="1" applyAlignment="1" applyProtection="1">
      <alignment horizontal="center" vertical="top"/>
    </xf>
    <xf numFmtId="0" fontId="238" fillId="0" borderId="0" xfId="0" applyFont="1" applyFill="1" applyBorder="1" applyAlignment="1" applyProtection="1">
      <alignment vertical="top"/>
    </xf>
    <xf numFmtId="0" fontId="243"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wrapText="1"/>
    </xf>
    <xf numFmtId="3" fontId="232"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5"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5" fillId="0" borderId="0" xfId="0" applyFont="1" applyFill="1" applyBorder="1" applyAlignment="1" applyProtection="1">
      <alignment horizontal="right" vertical="top"/>
    </xf>
    <xf numFmtId="0" fontId="244" fillId="0" borderId="0" xfId="0" applyFont="1" applyFill="1" applyBorder="1" applyAlignment="1" applyProtection="1">
      <alignment vertical="top"/>
    </xf>
    <xf numFmtId="0" fontId="185" fillId="0" borderId="0" xfId="0" applyFont="1" applyFill="1" applyBorder="1" applyAlignment="1" applyProtection="1">
      <alignment horizontal="right" vertical="center"/>
    </xf>
    <xf numFmtId="0" fontId="205"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5" fillId="0" borderId="0" xfId="0" applyFont="1" applyFill="1" applyBorder="1" applyAlignment="1" applyProtection="1">
      <alignment vertical="center" wrapText="1"/>
    </xf>
    <xf numFmtId="10" fontId="185"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185"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185"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187"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5"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5" fillId="0" borderId="0" xfId="0" applyNumberFormat="1" applyFont="1" applyFill="1" applyBorder="1" applyAlignment="1" applyProtection="1">
      <alignment horizontal="center" vertical="center"/>
    </xf>
    <xf numFmtId="0" fontId="185" fillId="0" borderId="0" xfId="0" applyFont="1" applyFill="1" applyBorder="1" applyProtection="1"/>
    <xf numFmtId="0" fontId="92" fillId="0" borderId="0" xfId="0" applyFont="1" applyFill="1" applyBorder="1" applyAlignment="1" applyProtection="1">
      <alignment horizontal="left" vertical="center" wrapText="1"/>
    </xf>
    <xf numFmtId="176" fontId="83" fillId="0" borderId="0" xfId="0" applyNumberFormat="1" applyFont="1" applyFill="1" applyBorder="1" applyAlignment="1" applyProtection="1"/>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5"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9"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185" fillId="0" borderId="0" xfId="0" applyNumberFormat="1" applyFont="1" applyFill="1" applyBorder="1" applyAlignment="1" applyProtection="1">
      <alignment horizontal="center" vertical="center"/>
    </xf>
    <xf numFmtId="9" fontId="185"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5" fillId="0" borderId="0" xfId="0" applyFont="1" applyFill="1" applyBorder="1" applyAlignment="1" applyProtection="1">
      <alignment vertical="top" wrapText="1"/>
    </xf>
    <xf numFmtId="176" fontId="185" fillId="0" borderId="0" xfId="0" applyNumberFormat="1" applyFont="1" applyFill="1" applyBorder="1" applyAlignment="1" applyProtection="1">
      <alignment vertical="center"/>
    </xf>
    <xf numFmtId="3" fontId="185"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5"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1"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0"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6" fillId="0" borderId="0" xfId="0" applyFont="1" applyFill="1" applyBorder="1" applyProtection="1"/>
    <xf numFmtId="0" fontId="236" fillId="0" borderId="0" xfId="0" quotePrefix="1" applyFont="1" applyFill="1" applyBorder="1" applyAlignment="1" applyProtection="1">
      <alignment vertical="center"/>
    </xf>
    <xf numFmtId="0" fontId="236" fillId="0" borderId="0" xfId="0" applyFont="1" applyFill="1" applyBorder="1" applyAlignment="1" applyProtection="1">
      <alignment vertical="center"/>
    </xf>
    <xf numFmtId="0" fontId="248" fillId="0" borderId="0" xfId="0" applyFont="1" applyFill="1" applyBorder="1" applyAlignment="1" applyProtection="1">
      <alignment horizontal="center" vertical="center"/>
    </xf>
    <xf numFmtId="0" fontId="249" fillId="0" borderId="0" xfId="0" applyFont="1" applyFill="1" applyBorder="1" applyAlignment="1" applyProtection="1">
      <alignment vertical="center"/>
    </xf>
    <xf numFmtId="0" fontId="249"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230"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7" fillId="0" borderId="0" xfId="0" quotePrefix="1" applyFont="1" applyFill="1" applyBorder="1" applyAlignment="1" applyProtection="1">
      <alignment vertical="center"/>
    </xf>
    <xf numFmtId="0" fontId="205" fillId="0" borderId="0" xfId="0" quotePrefix="1" applyFont="1" applyFill="1" applyBorder="1" applyAlignment="1" applyProtection="1">
      <alignment vertical="center"/>
    </xf>
    <xf numFmtId="0" fontId="250"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185"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246" fillId="0" borderId="0" xfId="0" applyFont="1" applyFill="1" applyBorder="1" applyAlignment="1" applyProtection="1">
      <alignment vertical="center"/>
    </xf>
    <xf numFmtId="0" fontId="186" fillId="0" borderId="0" xfId="0" applyFont="1" applyFill="1" applyBorder="1" applyAlignment="1" applyProtection="1">
      <alignment vertical="center"/>
    </xf>
    <xf numFmtId="0" fontId="236" fillId="0" borderId="0" xfId="0" quotePrefix="1" applyFont="1" applyFill="1" applyBorder="1" applyAlignment="1" applyProtection="1"/>
    <xf numFmtId="0" fontId="236" fillId="0" borderId="0" xfId="0" applyFont="1" applyFill="1" applyBorder="1" applyAlignment="1" applyProtection="1"/>
    <xf numFmtId="38" fontId="185" fillId="0" borderId="0" xfId="0" applyNumberFormat="1" applyFont="1" applyFill="1" applyBorder="1" applyAlignment="1" applyProtection="1">
      <alignment horizontal="center"/>
    </xf>
    <xf numFmtId="0" fontId="205" fillId="0" borderId="0" xfId="0" applyFont="1" applyFill="1" applyBorder="1" applyAlignment="1" applyProtection="1">
      <alignment horizontal="left" vertical="center"/>
    </xf>
    <xf numFmtId="38" fontId="185" fillId="0" borderId="0" xfId="0" applyNumberFormat="1" applyFont="1" applyFill="1" applyBorder="1" applyAlignment="1" applyProtection="1"/>
    <xf numFmtId="0" fontId="251"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right"/>
    </xf>
    <xf numFmtId="0" fontId="185" fillId="0" borderId="0" xfId="0" quotePrefix="1" applyFont="1" applyFill="1" applyBorder="1" applyAlignment="1" applyProtection="1">
      <alignment horizontal="right" vertical="center"/>
    </xf>
    <xf numFmtId="9" fontId="185" fillId="0" borderId="0" xfId="10" applyFont="1" applyFill="1" applyBorder="1" applyAlignment="1" applyProtection="1">
      <alignment horizontal="center" vertical="top" wrapText="1"/>
    </xf>
    <xf numFmtId="0" fontId="246" fillId="0" borderId="0" xfId="0" applyFont="1" applyFill="1" applyBorder="1" applyAlignment="1" applyProtection="1"/>
    <xf numFmtId="1" fontId="205"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5"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3"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4" fillId="0" borderId="0" xfId="0" applyFont="1" applyFill="1" applyBorder="1" applyAlignment="1" applyProtection="1">
      <alignment horizontal="left" vertical="top"/>
    </xf>
    <xf numFmtId="0" fontId="103" fillId="0" borderId="0" xfId="0" applyFont="1" applyFill="1" applyBorder="1" applyProtection="1"/>
    <xf numFmtId="0" fontId="216" fillId="0" borderId="0" xfId="0" applyFont="1" applyFill="1" applyBorder="1" applyProtection="1"/>
    <xf numFmtId="0" fontId="237" fillId="0" borderId="0" xfId="0"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56"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168" fontId="214"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0" fontId="186" fillId="0" borderId="0" xfId="0" applyFont="1" applyFill="1" applyBorder="1" applyAlignment="1" applyProtection="1">
      <alignment horizontal="left" vertical="center"/>
    </xf>
    <xf numFmtId="0" fontId="216" fillId="0" borderId="0" xfId="0" applyFont="1" applyFill="1" applyBorder="1" applyAlignment="1" applyProtection="1">
      <alignment vertical="center" wrapText="1"/>
    </xf>
    <xf numFmtId="0" fontId="246" fillId="0" borderId="0" xfId="0" applyFont="1" applyFill="1" applyBorder="1" applyAlignment="1" applyProtection="1">
      <alignment vertical="top"/>
    </xf>
    <xf numFmtId="0" fontId="185"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0" fontId="205" fillId="0" borderId="0" xfId="0" applyFont="1" applyFill="1" applyBorder="1" applyAlignment="1" applyProtection="1">
      <alignment vertical="top"/>
    </xf>
    <xf numFmtId="0" fontId="186"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7" fillId="0" borderId="0" xfId="0" applyFont="1" applyFill="1" applyBorder="1" applyAlignment="1" applyProtection="1">
      <alignment horizontal="center" vertical="top"/>
    </xf>
    <xf numFmtId="0" fontId="261" fillId="0" borderId="0" xfId="0" applyFont="1" applyFill="1" applyBorder="1" applyProtection="1"/>
    <xf numFmtId="0" fontId="262" fillId="0" borderId="0" xfId="0" applyFont="1" applyFill="1" applyBorder="1" applyProtection="1"/>
    <xf numFmtId="0" fontId="236"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7" fillId="0" borderId="0" xfId="0" applyFont="1" applyFill="1" applyBorder="1" applyAlignment="1" applyProtection="1"/>
    <xf numFmtId="0" fontId="96" fillId="0" borderId="0" xfId="0" applyFont="1" applyFill="1" applyBorder="1" applyAlignment="1" applyProtection="1">
      <alignment horizontal="left" vertical="center"/>
    </xf>
    <xf numFmtId="0" fontId="253" fillId="0" borderId="0" xfId="0" applyFont="1" applyFill="1" applyBorder="1" applyAlignment="1" applyProtection="1">
      <alignment vertical="center"/>
    </xf>
    <xf numFmtId="0" fontId="185" fillId="0" borderId="0" xfId="0" applyFont="1" applyFill="1" applyBorder="1" applyAlignment="1" applyProtection="1">
      <alignment horizontal="left"/>
    </xf>
    <xf numFmtId="0" fontId="263"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center" vertical="center"/>
    </xf>
    <xf numFmtId="0" fontId="93" fillId="0" borderId="0" xfId="0" applyNumberFormat="1" applyFont="1" applyFill="1" applyBorder="1" applyAlignment="1" applyProtection="1">
      <alignment horizontal="justify" vertical="center"/>
    </xf>
    <xf numFmtId="0" fontId="185" fillId="0" borderId="0" xfId="0" quotePrefix="1" applyFont="1" applyFill="1" applyBorder="1" applyAlignment="1" applyProtection="1">
      <alignment horizontal="left" vertical="center"/>
    </xf>
    <xf numFmtId="0" fontId="185" fillId="0" borderId="0" xfId="0" quotePrefix="1" applyFont="1" applyFill="1" applyBorder="1" applyAlignment="1" applyProtection="1">
      <alignment horizontal="center"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53" fillId="0" borderId="0" xfId="0" applyFont="1" applyFill="1" applyBorder="1" applyAlignment="1" applyProtection="1">
      <alignment vertical="top"/>
    </xf>
    <xf numFmtId="0" fontId="185"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4" fillId="0" borderId="0" xfId="0" applyFont="1" applyFill="1" applyBorder="1" applyAlignment="1" applyProtection="1">
      <alignment vertical="center"/>
    </xf>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left" vertical="center"/>
    </xf>
    <xf numFmtId="0" fontId="185"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5" fillId="0" borderId="0" xfId="0" applyFont="1" applyFill="1" applyBorder="1" applyAlignment="1" applyProtection="1">
      <alignment horizontal="center"/>
    </xf>
    <xf numFmtId="0" fontId="186"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95" fillId="0" borderId="0" xfId="0" applyNumberFormat="1" applyFont="1" applyFill="1" applyBorder="1" applyAlignment="1" applyProtection="1">
      <alignment vertical="center" wrapText="1"/>
    </xf>
    <xf numFmtId="0" fontId="246"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183" fontId="185"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237" fillId="0" borderId="0" xfId="0" applyFont="1" applyFill="1" applyBorder="1" applyAlignment="1" applyProtection="1">
      <alignment horizontal="right" vertical="top"/>
    </xf>
    <xf numFmtId="0" fontId="23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3" fillId="0" borderId="0" xfId="0" applyFont="1" applyFill="1" applyBorder="1" applyAlignment="1" applyProtection="1">
      <alignment horizontal="center" vertical="center" wrapText="1"/>
    </xf>
    <xf numFmtId="0" fontId="205" fillId="0" borderId="0" xfId="0" quotePrefix="1" applyFont="1" applyFill="1" applyBorder="1" applyAlignment="1" applyProtection="1">
      <alignment vertical="top" wrapText="1"/>
    </xf>
    <xf numFmtId="0" fontId="265" fillId="0" borderId="0" xfId="0" applyFont="1" applyFill="1" applyBorder="1" applyAlignment="1" applyProtection="1">
      <alignment vertical="center" wrapText="1"/>
    </xf>
    <xf numFmtId="9" fontId="20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wrapText="1"/>
    </xf>
    <xf numFmtId="0" fontId="228" fillId="0" borderId="0" xfId="0"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178" fontId="20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wrapText="1"/>
    </xf>
    <xf numFmtId="38" fontId="205" fillId="0" borderId="0" xfId="0" applyNumberFormat="1" applyFont="1" applyFill="1" applyBorder="1" applyAlignment="1" applyProtection="1">
      <alignment horizontal="left" vertical="center" wrapText="1"/>
    </xf>
    <xf numFmtId="3" fontId="185" fillId="0" borderId="0" xfId="0" applyNumberFormat="1" applyFont="1" applyFill="1" applyBorder="1" applyAlignment="1" applyProtection="1">
      <alignment horizontal="center"/>
    </xf>
    <xf numFmtId="10" fontId="185" fillId="0" borderId="0" xfId="0" applyNumberFormat="1" applyFont="1" applyFill="1" applyBorder="1" applyAlignment="1" applyProtection="1">
      <alignment horizontal="center"/>
    </xf>
    <xf numFmtId="0" fontId="237" fillId="0" borderId="0" xfId="0" applyFont="1" applyFill="1" applyBorder="1" applyProtection="1"/>
    <xf numFmtId="0" fontId="185" fillId="0" borderId="0" xfId="0" applyFont="1" applyFill="1" applyBorder="1" applyAlignment="1" applyProtection="1">
      <alignment horizontal="left" vertical="top"/>
    </xf>
    <xf numFmtId="0" fontId="266" fillId="0" borderId="0" xfId="0" applyFont="1" applyFill="1" applyBorder="1" applyAlignment="1" applyProtection="1">
      <alignment vertical="center" wrapText="1"/>
    </xf>
    <xf numFmtId="0" fontId="236"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0" fillId="0" borderId="0" xfId="0" applyFont="1" applyFill="1" applyBorder="1" applyAlignment="1" applyProtection="1">
      <alignment horizontal="right"/>
    </xf>
    <xf numFmtId="0" fontId="205" fillId="0" borderId="0" xfId="0" quotePrefix="1" applyFont="1" applyFill="1" applyBorder="1" applyAlignment="1" applyProtection="1">
      <alignment horizontal="center" vertical="center"/>
    </xf>
    <xf numFmtId="0" fontId="228" fillId="0" borderId="0" xfId="0" applyFont="1" applyFill="1" applyBorder="1" applyAlignment="1" applyProtection="1">
      <alignment vertical="center"/>
    </xf>
    <xf numFmtId="0" fontId="248" fillId="0" borderId="0" xfId="0" applyFont="1" applyFill="1" applyBorder="1" applyProtection="1"/>
    <xf numFmtId="174"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76" fontId="93" fillId="0" borderId="0" xfId="0" applyNumberFormat="1" applyFont="1" applyFill="1" applyBorder="1" applyAlignment="1" applyProtection="1">
      <alignment horizontal="center" vertical="top" wrapText="1"/>
    </xf>
    <xf numFmtId="165" fontId="93" fillId="0" borderId="0" xfId="0" applyNumberFormat="1" applyFont="1" applyFill="1" applyBorder="1" applyAlignment="1" applyProtection="1">
      <alignment horizontal="center" vertical="center"/>
    </xf>
    <xf numFmtId="0" fontId="205" fillId="0" borderId="0" xfId="0" quotePrefix="1" applyFont="1" applyFill="1" applyBorder="1" applyAlignment="1" applyProtection="1">
      <alignment horizontal="right" vertical="center"/>
    </xf>
    <xf numFmtId="3" fontId="205" fillId="0" borderId="0" xfId="0" applyNumberFormat="1" applyFont="1" applyFill="1" applyBorder="1" applyAlignment="1" applyProtection="1">
      <alignment vertical="center"/>
    </xf>
    <xf numFmtId="10" fontId="205" fillId="0" borderId="0" xfId="0" applyNumberFormat="1" applyFont="1" applyFill="1" applyBorder="1" applyAlignment="1" applyProtection="1">
      <alignment vertical="center"/>
    </xf>
    <xf numFmtId="0" fontId="205" fillId="0" borderId="0" xfId="0" quotePrefix="1" applyFont="1" applyFill="1" applyBorder="1" applyAlignment="1" applyProtection="1">
      <alignment horizontal="right" vertical="top"/>
    </xf>
    <xf numFmtId="0" fontId="240" fillId="0" borderId="0" xfId="0" applyFont="1" applyFill="1" applyBorder="1" applyProtection="1"/>
    <xf numFmtId="0" fontId="235" fillId="0" borderId="0" xfId="0" applyFont="1" applyFill="1" applyBorder="1" applyAlignment="1" applyProtection="1">
      <alignment vertical="center"/>
    </xf>
    <xf numFmtId="38" fontId="235" fillId="0" borderId="0" xfId="0" applyNumberFormat="1" applyFont="1" applyFill="1" applyBorder="1" applyAlignment="1" applyProtection="1">
      <alignment horizontal="center" vertical="center"/>
    </xf>
    <xf numFmtId="38" fontId="23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16" fillId="0" borderId="0" xfId="0" applyFont="1" applyFill="1" applyBorder="1" applyAlignment="1" applyProtection="1">
      <alignment horizontal="center" vertical="center"/>
    </xf>
    <xf numFmtId="3" fontId="193"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0" fontId="181" fillId="0" borderId="0" xfId="13" applyFont="1" applyProtection="1"/>
    <xf numFmtId="0" fontId="188" fillId="0" borderId="0" xfId="13" applyFont="1" applyAlignment="1" applyProtection="1"/>
    <xf numFmtId="0" fontId="75" fillId="0" borderId="0" xfId="13" applyFont="1" applyAlignment="1" applyProtection="1"/>
    <xf numFmtId="0" fontId="189"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0" fontId="13" fillId="5" borderId="17" xfId="0"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168" fontId="41" fillId="10" borderId="22" xfId="0" applyNumberFormat="1" applyFont="1" applyFill="1" applyBorder="1" applyAlignment="1" applyProtection="1">
      <alignment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183" fontId="13" fillId="5" borderId="87" xfId="0" applyNumberFormat="1"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13" fillId="5" borderId="16"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176" fontId="3" fillId="10" borderId="89" xfId="0" quotePrefix="1"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0" fontId="13" fillId="5" borderId="103" xfId="0" applyFont="1" applyFill="1" applyBorder="1" applyAlignment="1" applyProtection="1">
      <alignment horizontal="center" vertical="top"/>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1" fillId="5" borderId="3" xfId="0" applyNumberFormat="1" applyFont="1" applyFill="1" applyBorder="1" applyAlignment="1" applyProtection="1">
      <alignment vertical="center"/>
    </xf>
    <xf numFmtId="3" fontId="11" fillId="5" borderId="4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42" fillId="0" borderId="0" xfId="13" applyFont="1" applyProtection="1"/>
    <xf numFmtId="164" fontId="42" fillId="0" borderId="8"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3" xfId="0" applyNumberFormat="1" applyFont="1" applyFill="1" applyBorder="1" applyAlignment="1" applyProtection="1">
      <alignment horizontal="right" vertical="center"/>
    </xf>
    <xf numFmtId="4" fontId="45" fillId="13" borderId="80" xfId="0"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4" fontId="45" fillId="13" borderId="93" xfId="0" applyNumberFormat="1" applyFont="1" applyFill="1" applyBorder="1" applyAlignment="1" applyProtection="1">
      <alignment horizontal="right" vertical="center"/>
    </xf>
    <xf numFmtId="164" fontId="41" fillId="5" borderId="47" xfId="1" applyNumberFormat="1" applyFont="1" applyFill="1" applyBorder="1" applyAlignment="1" applyProtection="1">
      <alignment horizontal="center" vertical="center"/>
    </xf>
    <xf numFmtId="0" fontId="45" fillId="0" borderId="0" xfId="0" applyFont="1" applyAlignment="1" applyProtection="1"/>
    <xf numFmtId="0" fontId="45" fillId="5" borderId="1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89"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9"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0" fontId="59" fillId="0" borderId="0" xfId="0" applyFont="1" applyFill="1" applyAlignment="1" applyProtection="1">
      <alignment horizontal="center" vertical="center"/>
    </xf>
    <xf numFmtId="0" fontId="45" fillId="5" borderId="89" xfId="0" applyFont="1" applyFill="1" applyBorder="1" applyAlignment="1" applyProtection="1">
      <alignment horizontal="left" vertical="center"/>
    </xf>
    <xf numFmtId="0" fontId="45" fillId="5" borderId="82"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 xfId="0"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0" borderId="87" xfId="0" applyFont="1" applyFill="1" applyBorder="1" applyAlignment="1" applyProtection="1">
      <alignment horizontal="center"/>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9" xfId="1" applyNumberFormat="1"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3" fontId="45" fillId="5" borderId="3"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175" fillId="0" borderId="0" xfId="0" applyFont="1" applyFill="1" applyBorder="1" applyAlignment="1" applyProtection="1">
      <alignment horizontal="center" vertical="center" wrapText="1"/>
    </xf>
    <xf numFmtId="0" fontId="175" fillId="0" borderId="88" xfId="0" applyFont="1" applyFill="1" applyBorder="1" applyAlignment="1" applyProtection="1">
      <alignment horizontal="center" vertical="center" wrapText="1"/>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0" fontId="45" fillId="5" borderId="81"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81"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45" fillId="5" borderId="85"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0" fontId="45" fillId="0" borderId="0" xfId="0" applyFont="1" applyFill="1" applyBorder="1" applyAlignment="1" applyProtection="1">
      <alignment horizontal="left"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top" wrapText="1"/>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37"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9" fontId="45" fillId="5" borderId="81" xfId="0" applyNumberFormat="1" applyFont="1" applyFill="1" applyBorder="1" applyAlignment="1" applyProtection="1">
      <alignment horizontal="center" vertical="center"/>
    </xf>
    <xf numFmtId="0" fontId="45" fillId="0" borderId="82" xfId="0" applyFont="1" applyBorder="1" applyProtection="1"/>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36" xfId="0" applyFont="1" applyFill="1" applyBorder="1" applyAlignment="1" applyProtection="1">
      <alignment horizontal="left" vertical="center"/>
    </xf>
    <xf numFmtId="0" fontId="45" fillId="0" borderId="2" xfId="0" applyFont="1" applyBorder="1" applyProtection="1"/>
    <xf numFmtId="167" fontId="45" fillId="5" borderId="36"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0" borderId="85" xfId="0" applyFont="1" applyBorder="1" applyProtection="1"/>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167" fontId="45" fillId="5" borderId="2" xfId="0" applyNumberFormat="1" applyFont="1" applyFill="1" applyBorder="1" applyAlignment="1" applyProtection="1">
      <alignment horizontal="left" vertical="center"/>
    </xf>
    <xf numFmtId="169" fontId="45" fillId="5" borderId="81" xfId="0" applyNumberFormat="1" applyFont="1" applyFill="1" applyBorder="1" applyAlignment="1" applyProtection="1">
      <alignment horizontal="left" vertical="center"/>
    </xf>
    <xf numFmtId="169" fontId="45" fillId="5" borderId="82" xfId="0" applyNumberFormat="1" applyFont="1" applyFill="1" applyBorder="1" applyAlignment="1" applyProtection="1">
      <alignment horizontal="left" vertical="center"/>
    </xf>
    <xf numFmtId="169" fontId="45" fillId="5" borderId="36"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0" borderId="88" xfId="0" applyFont="1" applyFill="1" applyBorder="1" applyAlignment="1" applyProtection="1">
      <alignment horizontal="left" vertical="top" wrapText="1"/>
    </xf>
    <xf numFmtId="0" fontId="45" fillId="0" borderId="84"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0" borderId="8"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9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80" xfId="0" applyFont="1" applyFill="1" applyBorder="1" applyAlignment="1" applyProtection="1">
      <alignment horizontal="left" vertical="top" wrapText="1"/>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1" fillId="5" borderId="28"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45" fillId="5" borderId="17"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9" xfId="0" applyFont="1" applyFill="1" applyBorder="1" applyAlignment="1" applyProtection="1">
      <alignment horizontal="left" vertical="top" wrapText="1"/>
    </xf>
    <xf numFmtId="0" fontId="41" fillId="5" borderId="89" xfId="0" applyFont="1" applyFill="1" applyBorder="1" applyAlignment="1" applyProtection="1">
      <alignment horizontal="left" vertical="top" wrapText="1"/>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0" fontId="45" fillId="0" borderId="62" xfId="0" applyFont="1" applyBorder="1" applyProtection="1"/>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8" xfId="1" applyNumberFormat="1" applyFont="1" applyFill="1" applyBorder="1" applyAlignment="1" applyProtection="1">
      <alignment horizontal="righ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164" fontId="45" fillId="0" borderId="0"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12" fillId="13" borderId="28" xfId="0" applyFont="1" applyFill="1" applyBorder="1" applyAlignment="1" applyProtection="1">
      <alignment horizontal="left" vertical="top" wrapText="1"/>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1" fillId="13" borderId="89" xfId="0" applyFont="1" applyFill="1" applyBorder="1" applyAlignment="1" applyProtection="1">
      <alignment horizontal="left" vertical="top" wrapText="1"/>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3"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77" fillId="8" borderId="7" xfId="13" applyFont="1" applyFill="1" applyBorder="1" applyAlignment="1" applyProtection="1">
      <alignment horizontal="center" vertical="center"/>
    </xf>
    <xf numFmtId="0" fontId="177" fillId="8" borderId="0" xfId="13" applyFont="1" applyFill="1" applyBorder="1" applyAlignment="1" applyProtection="1">
      <alignment horizontal="center" vertical="center"/>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1"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7" fillId="0" borderId="0" xfId="0" applyFont="1" applyAlignment="1" applyProtection="1">
      <alignment horizontal="center"/>
    </xf>
    <xf numFmtId="0" fontId="7" fillId="0" borderId="0" xfId="0" applyFont="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5" borderId="28" xfId="0" applyFill="1" applyBorder="1" applyAlignment="1" applyProtection="1">
      <alignment horizontal="left"/>
    </xf>
    <xf numFmtId="0" fontId="0" fillId="5" borderId="29" xfId="0" applyFill="1" applyBorder="1" applyAlignment="1" applyProtection="1">
      <alignment horizontal="left"/>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2"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2"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190" fillId="0" borderId="0" xfId="0" applyFont="1" applyFill="1" applyAlignment="1" applyProtection="1">
      <alignment horizontal="right"/>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2" fillId="0" borderId="40" xfId="0" applyNumberFormat="1" applyFont="1" applyFill="1" applyBorder="1" applyAlignment="1" applyProtection="1">
      <alignment horizontal="center"/>
    </xf>
    <xf numFmtId="1" fontId="182" fillId="0" borderId="0" xfId="0" applyNumberFormat="1" applyFont="1" applyFill="1" applyBorder="1" applyAlignment="1" applyProtection="1">
      <alignment horizontal="center"/>
    </xf>
    <xf numFmtId="1" fontId="182" fillId="0" borderId="41" xfId="0" applyNumberFormat="1" applyFont="1" applyFill="1" applyBorder="1" applyAlignment="1" applyProtection="1">
      <alignment horizont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2" fillId="13" borderId="59"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45" fillId="0" borderId="85"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0" fillId="0" borderId="85" xfId="0" applyBorder="1" applyProtection="1"/>
    <xf numFmtId="0" fontId="0" fillId="0" borderId="82"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96" fillId="20" borderId="0" xfId="0" applyFont="1" applyFill="1" applyAlignment="1" applyProtection="1">
      <alignment horizontal="center" vertical="center"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53" fillId="0" borderId="0" xfId="0" applyFont="1" applyFill="1" applyAlignment="1" applyProtection="1">
      <alignment horizontal="left" vertical="top" wrapText="1"/>
    </xf>
    <xf numFmtId="0" fontId="198" fillId="0" borderId="44" xfId="0" applyNumberFormat="1" applyFont="1" applyFill="1" applyBorder="1" applyAlignment="1" applyProtection="1">
      <alignment horizontal="center" vertical="center" wrapText="1"/>
    </xf>
    <xf numFmtId="0" fontId="198" fillId="0" borderId="39" xfId="0" applyNumberFormat="1" applyFont="1" applyFill="1" applyBorder="1" applyAlignment="1" applyProtection="1">
      <alignment horizontal="center" vertical="center" wrapText="1"/>
    </xf>
    <xf numFmtId="0" fontId="198" fillId="0" borderId="42" xfId="0" applyNumberFormat="1" applyFont="1" applyFill="1" applyBorder="1" applyAlignment="1" applyProtection="1">
      <alignment horizontal="center" vertical="center" wrapText="1"/>
    </xf>
    <xf numFmtId="0" fontId="198" fillId="0" borderId="60" xfId="0" applyNumberFormat="1" applyFont="1" applyFill="1" applyBorder="1" applyAlignment="1" applyProtection="1">
      <alignment horizontal="center"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70" fillId="0" borderId="44"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60"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3" fontId="174" fillId="0" borderId="83" xfId="0" applyNumberFormat="1" applyFont="1" applyFill="1" applyBorder="1" applyAlignment="1" applyProtection="1">
      <alignment horizontal="center" vertical="center" wrapText="1"/>
    </xf>
    <xf numFmtId="3" fontId="174" fillId="0" borderId="84" xfId="0" applyNumberFormat="1" applyFont="1" applyFill="1" applyBorder="1" applyAlignment="1" applyProtection="1">
      <alignment horizontal="center" vertical="center" wrapText="1"/>
    </xf>
    <xf numFmtId="3" fontId="174" fillId="0" borderId="9" xfId="0" applyNumberFormat="1" applyFont="1" applyFill="1" applyBorder="1" applyAlignment="1" applyProtection="1">
      <alignment horizontal="center" vertical="center" wrapText="1"/>
    </xf>
    <xf numFmtId="3" fontId="174"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49" fillId="0" borderId="0" xfId="0" applyFont="1" applyFill="1" applyBorder="1" applyAlignment="1" applyProtection="1">
      <alignment horizontal="center" vertical="center"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3" fontId="3" fillId="5" borderId="81" xfId="0" applyNumberFormat="1"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0" fillId="0" borderId="82" xfId="0" applyBorder="1" applyAlignment="1" applyProtection="1">
      <alignment horizontal="left" vertical="center"/>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5" borderId="89" xfId="0" applyFont="1" applyFill="1" applyBorder="1" applyAlignment="1" applyProtection="1">
      <alignment horizontal="left" vertical="center" wrapText="1"/>
    </xf>
    <xf numFmtId="0" fontId="9" fillId="5" borderId="89" xfId="0" applyFont="1" applyFill="1"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5" borderId="29" xfId="0"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6" fillId="0" borderId="0" xfId="0" applyFont="1" applyFill="1" applyAlignment="1" applyProtection="1">
      <alignment horizont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3" fillId="0" borderId="0" xfId="0" applyFont="1" applyFill="1" applyAlignment="1" applyProtection="1">
      <alignment horizontal="left" vertical="top" wrapText="1"/>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1" fillId="0" borderId="89" xfId="0" applyFont="1" applyFill="1" applyBorder="1" applyAlignment="1" applyProtection="1">
      <alignment horizontal="center" vertical="center" wrapText="1"/>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vertical="center"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2" fillId="10" borderId="89"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3" fillId="0" borderId="88" xfId="0" applyFont="1" applyFill="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2" fillId="0" borderId="0" xfId="0" applyFont="1" applyFill="1" applyAlignment="1" applyProtection="1">
      <alignment horizontal="left" vertical="center" wrapText="1"/>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13" fillId="0" borderId="0" xfId="0" applyFont="1" applyBorder="1" applyAlignment="1" applyProtection="1">
      <alignment horizontal="center" wrapText="1"/>
    </xf>
    <xf numFmtId="0" fontId="13" fillId="0" borderId="13" xfId="0" applyFont="1" applyBorder="1" applyAlignment="1" applyProtection="1">
      <alignment horizont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90" fillId="0" borderId="0" xfId="0" applyFont="1" applyFill="1" applyBorder="1" applyAlignment="1" applyProtection="1">
      <alignment horizontal="left" vertical="center"/>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0" borderId="0"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9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168" fillId="0" borderId="0" xfId="0" applyFont="1" applyAlignment="1" applyProtection="1">
      <alignment horizontal="center" vertical="center" wrapText="1"/>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12" fillId="0" borderId="0" xfId="0" applyFont="1" applyAlignment="1" applyProtection="1">
      <alignment horizontal="center" vertic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0" xfId="0" applyFont="1" applyAlignment="1" applyProtection="1">
      <alignment horizontal="left" vertical="center" wrapText="1"/>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184"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14" fillId="0" borderId="0" xfId="0" applyFont="1" applyFill="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84" fillId="0" borderId="88"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3" fillId="10" borderId="83"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114" fillId="0" borderId="7" xfId="0" applyFont="1" applyFill="1" applyBorder="1" applyAlignment="1" applyProtection="1">
      <alignment horizontal="center" vertical="center" wrapText="1"/>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49" fontId="90" fillId="0" borderId="0" xfId="0" applyNumberFormat="1" applyFont="1" applyAlignment="1" applyProtection="1">
      <alignment horizontal="left" vertical="center"/>
    </xf>
    <xf numFmtId="0" fontId="164" fillId="0" borderId="0" xfId="0" applyFont="1" applyFill="1" applyBorder="1" applyAlignment="1" applyProtection="1">
      <alignment horizontal="center" vertical="top" wrapText="1"/>
    </xf>
    <xf numFmtId="0" fontId="179"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12" fillId="0" borderId="16" xfId="0" applyNumberFormat="1" applyFont="1" applyBorder="1" applyAlignment="1" applyProtection="1">
      <alignment horizontal="center"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3" fillId="10" borderId="17" xfId="0" applyFont="1" applyFill="1" applyBorder="1" applyAlignment="1" applyProtection="1">
      <alignment horizontal="center" vertical="top"/>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20" borderId="0" xfId="0" applyFont="1" applyFill="1" applyAlignment="1" applyProtection="1">
      <alignment horizontal="left" vertical="center" wrapText="1"/>
    </xf>
    <xf numFmtId="4" fontId="3" fillId="10" borderId="17" xfId="0" applyNumberFormat="1" applyFont="1" applyFill="1" applyBorder="1" applyAlignment="1" applyProtection="1">
      <alignment horizontal="center" vertical="top"/>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0" fontId="15" fillId="0" borderId="0" xfId="0" applyFont="1" applyAlignment="1" applyProtection="1">
      <alignment horizontal="center"/>
    </xf>
    <xf numFmtId="0" fontId="40" fillId="0" borderId="0" xfId="0" applyFont="1" applyFill="1" applyBorder="1" applyAlignment="1" applyProtection="1">
      <alignment horizontal="left" vertical="top" wrapText="1"/>
    </xf>
    <xf numFmtId="0" fontId="8"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8" fillId="7" borderId="0" xfId="13" applyFont="1" applyFill="1" applyAlignment="1" applyProtection="1">
      <alignment horizontal="justify"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09" fillId="0" borderId="0" xfId="13" applyFont="1" applyAlignment="1">
      <alignment horizontal="center"/>
    </xf>
    <xf numFmtId="0" fontId="208"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0"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7"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horizontal="justify" vertical="top" wrapText="1"/>
    </xf>
    <xf numFmtId="0" fontId="74" fillId="0" borderId="13" xfId="13" applyFont="1" applyBorder="1" applyAlignment="1" applyProtection="1">
      <alignment horizontal="left"/>
    </xf>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44.85546875" style="28" customWidth="1"/>
    <col min="2" max="16384" width="9.140625" style="28"/>
  </cols>
  <sheetData>
    <row r="1" spans="1:6" ht="15" customHeight="1">
      <c r="A1" s="914" t="s">
        <v>988</v>
      </c>
    </row>
    <row r="2" spans="1:6" ht="15" customHeight="1">
      <c r="A2" s="915" t="str">
        <f>'Part I-Project Information'!F34</f>
        <v>Tindall Fields III</v>
      </c>
    </row>
    <row r="3" spans="1:6" ht="15" customHeight="1">
      <c r="A3" s="915" t="str">
        <f>CONCATENATE('Part I-Project Information'!F38,", ", 'Part I-Project Information'!J39," County")</f>
        <v>Macon, Bibb County</v>
      </c>
    </row>
    <row r="4" spans="1:6" ht="12" customHeight="1"/>
    <row r="5" spans="1:6" ht="111" customHeight="1">
      <c r="A5" s="2432" t="s">
        <v>4632</v>
      </c>
      <c r="B5" s="2433" t="s">
        <v>2929</v>
      </c>
      <c r="C5" s="2433"/>
      <c r="D5" s="2433"/>
      <c r="E5" s="2433"/>
      <c r="F5" s="2433"/>
    </row>
    <row r="6" spans="1:6" ht="6.6" customHeight="1">
      <c r="A6" s="2432"/>
      <c r="B6" s="2433"/>
      <c r="C6" s="2433"/>
      <c r="D6" s="2433"/>
      <c r="E6" s="2433"/>
      <c r="F6" s="2433"/>
    </row>
    <row r="7" spans="1:6" ht="105.6" customHeight="1">
      <c r="A7" s="2432"/>
      <c r="B7" s="2433"/>
      <c r="C7" s="2433"/>
      <c r="D7" s="2433"/>
      <c r="E7" s="2433"/>
      <c r="F7" s="2433"/>
    </row>
    <row r="8" spans="1:6" ht="6.6" customHeight="1">
      <c r="A8" s="2432"/>
    </row>
    <row r="9" spans="1:6" ht="93" customHeight="1">
      <c r="A9" s="2432"/>
    </row>
    <row r="10" spans="1:6" ht="6.6" customHeight="1">
      <c r="A10" s="2432"/>
    </row>
    <row r="11" spans="1:6" ht="93" customHeight="1">
      <c r="A11" s="2432"/>
    </row>
    <row r="12" spans="1:6" ht="6.6" customHeight="1">
      <c r="A12" s="2432"/>
    </row>
    <row r="13" spans="1:6" ht="93" customHeight="1">
      <c r="A13" s="2432"/>
    </row>
    <row r="14" spans="1:6" ht="6.6" customHeight="1">
      <c r="A14" s="2432"/>
    </row>
    <row r="15" spans="1:6" ht="93" customHeight="1">
      <c r="A15" s="2432"/>
    </row>
    <row r="16" spans="1:6" ht="6.6" customHeight="1">
      <c r="A16" s="2432"/>
    </row>
    <row r="17" spans="1:1" ht="93" customHeight="1">
      <c r="A17" s="2432"/>
    </row>
    <row r="18" spans="1:1" ht="6.6" customHeight="1">
      <c r="A18" s="2432"/>
    </row>
    <row r="19" spans="1:1" ht="93" customHeight="1">
      <c r="A19" s="2432"/>
    </row>
    <row r="20" spans="1:1" ht="6.6" customHeight="1">
      <c r="A20" s="2432"/>
    </row>
    <row r="21" spans="1:1" ht="93" customHeight="1">
      <c r="A21" s="2432"/>
    </row>
    <row r="22" spans="1:1" ht="6.6" customHeight="1">
      <c r="A22" s="2432"/>
    </row>
    <row r="23" spans="1:1" ht="127.9" customHeight="1">
      <c r="A23" s="2432"/>
    </row>
  </sheetData>
  <sheetProtection algorithmName="SHA-512" hashValue="t+SmoznC3qTmEGxQWIh3V771OFXW/OPzi5tsngF9o2CNuFZQgdH1f4Vzam7ueA8WuPivzgp9O/VCBIbGegqXpw==" saltValue="UgVHz3ojUiOljRMbkR9J9w==" spinCount="100000" sheet="1" objects="1" scenarios="1" formatRows="0"/>
  <mergeCells count="2">
    <mergeCell ref="A5:A23"/>
    <mergeCell ref="B5:F7"/>
  </mergeCells>
  <printOptions horizontalCentered="1"/>
  <pageMargins left="0.5" right="0.5" top="0.75" bottom="0.5" header="0.5" footer="0.3"/>
  <pageSetup scale="67"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zoomScaleNormal="10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5703125" style="152" customWidth="1"/>
    <col min="83" max="153" width="9.140625" style="152" customWidth="1"/>
    <col min="154" max="172" width="9.140625" style="464" customWidth="1"/>
    <col min="173" max="177" width="11.28515625" style="464" customWidth="1"/>
    <col min="178" max="192" width="9.140625" style="464" customWidth="1"/>
    <col min="193" max="193" width="10.140625" style="464" customWidth="1"/>
    <col min="194" max="197" width="10" style="464" customWidth="1"/>
    <col min="198" max="201" width="9.140625" style="464" customWidth="1"/>
    <col min="202" max="202" width="9.140625" style="473" customWidth="1"/>
    <col min="203" max="206" width="9.140625" style="464" customWidth="1"/>
    <col min="207" max="217" width="9.140625" style="473" customWidth="1"/>
    <col min="218" max="227" width="11.5703125" style="473" customWidth="1"/>
    <col min="228" max="238" width="9.140625" style="473" customWidth="1"/>
    <col min="239" max="244" width="9.140625" style="464" customWidth="1"/>
    <col min="245" max="245" width="9.140625" style="477" customWidth="1"/>
    <col min="246" max="260" width="9.140625" style="464" customWidth="1"/>
    <col min="261" max="262" width="9.140625" style="477" customWidth="1"/>
    <col min="263" max="269" width="10.28515625" style="464" customWidth="1"/>
    <col min="270" max="272" width="9.140625" style="464"/>
    <col min="273" max="273" width="10.42578125" style="464" customWidth="1"/>
    <col min="274" max="277" width="10.140625" style="464" customWidth="1"/>
    <col min="278" max="279" width="9.140625" style="152"/>
    <col min="280" max="296" width="9.140625" style="464"/>
    <col min="297" max="16384" width="9.140625" style="85"/>
  </cols>
  <sheetData>
    <row r="1" spans="1:296" s="93" customFormat="1" ht="13.9" customHeight="1">
      <c r="A1" s="2832" t="str">
        <f>CONCATENATE("PART SIX - PROJECTED REVENUES &amp; EXPENSES","  -  ",'Part I-Project Information'!$O$6," ",'Part I-Project Information'!$F$34,", ",'Part I-Project Information'!F38,", ",'Part I-Project Information'!J39," County")</f>
        <v>PART SIX - PROJECTED REVENUES &amp; EXPENSES  -  2018-013 Tindall Fields III, Macon, Bibb County</v>
      </c>
      <c r="B1" s="2833"/>
      <c r="C1" s="2833"/>
      <c r="D1" s="2833"/>
      <c r="E1" s="2833"/>
      <c r="F1" s="2833"/>
      <c r="G1" s="2833"/>
      <c r="H1" s="2833"/>
      <c r="I1" s="2833"/>
      <c r="J1" s="2833"/>
      <c r="K1" s="2833"/>
      <c r="L1" s="2833"/>
      <c r="M1" s="2833"/>
      <c r="N1" s="2833"/>
      <c r="O1" s="2833"/>
      <c r="P1" s="2834"/>
      <c r="U1" s="3011" t="str">
        <f>A1</f>
        <v>PART SIX - PROJECTED REVENUES &amp; EXPENSES  -  2018-013 Tindall Fields III, Macon, Bibb County</v>
      </c>
      <c r="V1" s="3011"/>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04"/>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622</v>
      </c>
      <c r="B3" s="4" t="s">
        <v>2382</v>
      </c>
      <c r="C3" s="1"/>
      <c r="D3" s="990" t="s">
        <v>3592</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490</v>
      </c>
      <c r="FC3" s="470" t="s">
        <v>2456</v>
      </c>
      <c r="FD3" s="470" t="s">
        <v>2457</v>
      </c>
      <c r="FE3" s="470" t="s">
        <v>2458</v>
      </c>
      <c r="FF3" s="470" t="s">
        <v>2459</v>
      </c>
      <c r="FG3" s="470" t="s">
        <v>490</v>
      </c>
      <c r="FH3" s="470" t="s">
        <v>2456</v>
      </c>
      <c r="FI3" s="470" t="s">
        <v>2457</v>
      </c>
      <c r="FJ3" s="470" t="s">
        <v>2458</v>
      </c>
      <c r="FK3" s="470" t="s">
        <v>2459</v>
      </c>
      <c r="FL3" s="472"/>
      <c r="FM3" s="472"/>
      <c r="FN3" s="472"/>
      <c r="FO3" s="472"/>
      <c r="FP3" s="472"/>
      <c r="FQ3" s="472"/>
      <c r="FR3" s="472"/>
      <c r="FS3" s="472"/>
      <c r="FT3" s="472"/>
      <c r="FU3" s="472"/>
      <c r="FV3" s="470" t="s">
        <v>490</v>
      </c>
      <c r="FW3" s="470" t="s">
        <v>2456</v>
      </c>
      <c r="FX3" s="470" t="s">
        <v>2457</v>
      </c>
      <c r="FY3" s="470" t="s">
        <v>2458</v>
      </c>
      <c r="FZ3" s="470" t="s">
        <v>2459</v>
      </c>
      <c r="GA3" s="470" t="s">
        <v>490</v>
      </c>
      <c r="GB3" s="470" t="s">
        <v>2456</v>
      </c>
      <c r="GC3" s="470" t="s">
        <v>2457</v>
      </c>
      <c r="GD3" s="470" t="s">
        <v>2458</v>
      </c>
      <c r="GE3" s="470" t="s">
        <v>2459</v>
      </c>
      <c r="GF3" s="470" t="s">
        <v>490</v>
      </c>
      <c r="GG3" s="470" t="s">
        <v>2456</v>
      </c>
      <c r="GH3" s="470" t="s">
        <v>2457</v>
      </c>
      <c r="GI3" s="470" t="s">
        <v>2458</v>
      </c>
      <c r="GJ3" s="470" t="s">
        <v>2459</v>
      </c>
      <c r="GK3" s="470" t="s">
        <v>490</v>
      </c>
      <c r="GL3" s="470" t="s">
        <v>2456</v>
      </c>
      <c r="GM3" s="470" t="s">
        <v>2457</v>
      </c>
      <c r="GN3" s="470" t="s">
        <v>2458</v>
      </c>
      <c r="GO3" s="470" t="s">
        <v>2459</v>
      </c>
      <c r="GP3" s="470" t="s">
        <v>490</v>
      </c>
      <c r="GQ3" s="470" t="s">
        <v>2456</v>
      </c>
      <c r="GR3" s="470" t="s">
        <v>2457</v>
      </c>
      <c r="GS3" s="470" t="s">
        <v>2458</v>
      </c>
      <c r="GT3" s="470" t="s">
        <v>2459</v>
      </c>
      <c r="GU3" s="470" t="s">
        <v>490</v>
      </c>
      <c r="GV3" s="470" t="s">
        <v>2456</v>
      </c>
      <c r="GW3" s="470" t="s">
        <v>2457</v>
      </c>
      <c r="GX3" s="470" t="s">
        <v>2458</v>
      </c>
      <c r="GY3" s="470" t="s">
        <v>2459</v>
      </c>
      <c r="GZ3" s="470" t="s">
        <v>490</v>
      </c>
      <c r="HA3" s="470" t="s">
        <v>2456</v>
      </c>
      <c r="HB3" s="470" t="s">
        <v>2457</v>
      </c>
      <c r="HC3" s="470" t="s">
        <v>2458</v>
      </c>
      <c r="HD3" s="470" t="s">
        <v>2459</v>
      </c>
      <c r="HE3" s="470" t="s">
        <v>490</v>
      </c>
      <c r="HF3" s="470" t="s">
        <v>2456</v>
      </c>
      <c r="HG3" s="470" t="s">
        <v>2457</v>
      </c>
      <c r="HH3" s="470" t="s">
        <v>2458</v>
      </c>
      <c r="HI3" s="470" t="s">
        <v>2459</v>
      </c>
      <c r="HJ3" s="470" t="s">
        <v>490</v>
      </c>
      <c r="HK3" s="470" t="s">
        <v>2456</v>
      </c>
      <c r="HL3" s="470" t="s">
        <v>2457</v>
      </c>
      <c r="HM3" s="470" t="s">
        <v>2458</v>
      </c>
      <c r="HN3" s="470" t="s">
        <v>2459</v>
      </c>
      <c r="HO3" s="470" t="s">
        <v>490</v>
      </c>
      <c r="HP3" s="470" t="s">
        <v>2456</v>
      </c>
      <c r="HQ3" s="470" t="s">
        <v>2457</v>
      </c>
      <c r="HR3" s="470" t="s">
        <v>2458</v>
      </c>
      <c r="HS3" s="470" t="s">
        <v>2459</v>
      </c>
      <c r="HT3" s="470" t="s">
        <v>490</v>
      </c>
      <c r="HU3" s="470" t="s">
        <v>2456</v>
      </c>
      <c r="HV3" s="470" t="s">
        <v>2457</v>
      </c>
      <c r="HW3" s="470" t="s">
        <v>2458</v>
      </c>
      <c r="HX3" s="470" t="s">
        <v>2459</v>
      </c>
      <c r="HY3" s="470" t="s">
        <v>490</v>
      </c>
      <c r="HZ3" s="470" t="s">
        <v>2456</v>
      </c>
      <c r="IA3" s="470" t="s">
        <v>2457</v>
      </c>
      <c r="IB3" s="470" t="s">
        <v>2458</v>
      </c>
      <c r="IC3" s="470" t="s">
        <v>2459</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3012" t="s">
        <v>3444</v>
      </c>
      <c r="JD3" s="3012" t="s">
        <v>3445</v>
      </c>
      <c r="JE3" s="3012" t="s">
        <v>3446</v>
      </c>
      <c r="JF3" s="3012" t="s">
        <v>3447</v>
      </c>
      <c r="JG3" s="3012" t="s">
        <v>3448</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3014" t="s">
        <v>3726</v>
      </c>
      <c r="Q4" s="1583"/>
      <c r="R4" s="431"/>
      <c r="S4" s="431"/>
      <c r="T4" s="431"/>
      <c r="U4" s="431"/>
      <c r="V4" s="432"/>
      <c r="W4" s="3013" t="s">
        <v>928</v>
      </c>
      <c r="X4" s="3013" t="s">
        <v>764</v>
      </c>
      <c r="Y4" s="3013" t="s">
        <v>765</v>
      </c>
      <c r="Z4" s="3013" t="s">
        <v>766</v>
      </c>
      <c r="AA4" s="3013" t="s">
        <v>767</v>
      </c>
      <c r="AB4" s="3013" t="s">
        <v>929</v>
      </c>
      <c r="AC4" s="3013" t="s">
        <v>2326</v>
      </c>
      <c r="AD4" s="3013" t="s">
        <v>2327</v>
      </c>
      <c r="AE4" s="3013" t="s">
        <v>2328</v>
      </c>
      <c r="AF4" s="3013" t="s">
        <v>2329</v>
      </c>
      <c r="AG4" s="3013" t="s">
        <v>930</v>
      </c>
      <c r="AH4" s="3013" t="s">
        <v>2330</v>
      </c>
      <c r="AI4" s="3013" t="s">
        <v>2331</v>
      </c>
      <c r="AJ4" s="3013" t="s">
        <v>2332</v>
      </c>
      <c r="AK4" s="3013" t="s">
        <v>2333</v>
      </c>
      <c r="AL4" s="3013" t="s">
        <v>130</v>
      </c>
      <c r="AM4" s="3013" t="s">
        <v>2334</v>
      </c>
      <c r="AN4" s="3013" t="s">
        <v>2335</v>
      </c>
      <c r="AO4" s="3013" t="s">
        <v>2336</v>
      </c>
      <c r="AP4" s="3013" t="s">
        <v>1158</v>
      </c>
      <c r="AQ4" s="3013" t="s">
        <v>561</v>
      </c>
      <c r="AR4" s="3013" t="s">
        <v>562</v>
      </c>
      <c r="AS4" s="3013" t="s">
        <v>582</v>
      </c>
      <c r="AT4" s="3013" t="s">
        <v>583</v>
      </c>
      <c r="AU4" s="3013" t="s">
        <v>584</v>
      </c>
      <c r="AV4" s="3013" t="s">
        <v>585</v>
      </c>
      <c r="AW4" s="3013" t="s">
        <v>586</v>
      </c>
      <c r="AX4" s="3013" t="s">
        <v>587</v>
      </c>
      <c r="AY4" s="3013" t="s">
        <v>588</v>
      </c>
      <c r="AZ4" s="3013" t="s">
        <v>589</v>
      </c>
      <c r="BA4" s="3013" t="s">
        <v>590</v>
      </c>
      <c r="BB4" s="3013" t="s">
        <v>591</v>
      </c>
      <c r="BC4" s="3013" t="s">
        <v>940</v>
      </c>
      <c r="BD4" s="3013" t="s">
        <v>941</v>
      </c>
      <c r="BE4" s="3013" t="s">
        <v>942</v>
      </c>
      <c r="BF4" s="3013" t="s">
        <v>501</v>
      </c>
      <c r="BG4" s="3013" t="s">
        <v>502</v>
      </c>
      <c r="BH4" s="3013" t="s">
        <v>503</v>
      </c>
      <c r="BI4" s="3013" t="s">
        <v>504</v>
      </c>
      <c r="BJ4" s="3013" t="s">
        <v>505</v>
      </c>
      <c r="BK4" s="3013" t="s">
        <v>889</v>
      </c>
      <c r="BL4" s="3013" t="s">
        <v>890</v>
      </c>
      <c r="BM4" s="3013" t="s">
        <v>891</v>
      </c>
      <c r="BN4" s="3013" t="s">
        <v>892</v>
      </c>
      <c r="BO4" s="3013" t="s">
        <v>893</v>
      </c>
      <c r="BP4" s="3013" t="s">
        <v>894</v>
      </c>
      <c r="BQ4" s="3013" t="s">
        <v>895</v>
      </c>
      <c r="BR4" s="3013" t="s">
        <v>896</v>
      </c>
      <c r="BS4" s="3013" t="s">
        <v>897</v>
      </c>
      <c r="BT4" s="3013" t="s">
        <v>898</v>
      </c>
      <c r="BU4" s="3013" t="s">
        <v>2446</v>
      </c>
      <c r="BV4" s="3013" t="s">
        <v>2447</v>
      </c>
      <c r="BW4" s="3013" t="s">
        <v>2448</v>
      </c>
      <c r="BX4" s="3013" t="s">
        <v>2449</v>
      </c>
      <c r="BY4" s="3013" t="s">
        <v>2450</v>
      </c>
      <c r="BZ4" s="3013" t="s">
        <v>118</v>
      </c>
      <c r="CA4" s="3013" t="s">
        <v>1161</v>
      </c>
      <c r="CB4" s="3013" t="s">
        <v>1162</v>
      </c>
      <c r="CC4" s="3013" t="s">
        <v>1225</v>
      </c>
      <c r="CD4" s="3013" t="s">
        <v>1226</v>
      </c>
      <c r="CE4" s="3016" t="s">
        <v>133</v>
      </c>
      <c r="CF4" s="3016" t="s">
        <v>1227</v>
      </c>
      <c r="CG4" s="3016" t="s">
        <v>1228</v>
      </c>
      <c r="CH4" s="3016" t="s">
        <v>1229</v>
      </c>
      <c r="CI4" s="3016" t="s">
        <v>1230</v>
      </c>
      <c r="CJ4" s="3016" t="s">
        <v>132</v>
      </c>
      <c r="CK4" s="3016" t="s">
        <v>920</v>
      </c>
      <c r="CL4" s="3016" t="s">
        <v>921</v>
      </c>
      <c r="CM4" s="3016" t="s">
        <v>922</v>
      </c>
      <c r="CN4" s="3016" t="s">
        <v>923</v>
      </c>
      <c r="CO4" s="3016" t="s">
        <v>131</v>
      </c>
      <c r="CP4" s="3016" t="s">
        <v>924</v>
      </c>
      <c r="CQ4" s="3016" t="s">
        <v>925</v>
      </c>
      <c r="CR4" s="3016" t="s">
        <v>926</v>
      </c>
      <c r="CS4" s="3016" t="s">
        <v>927</v>
      </c>
      <c r="CT4" s="3016" t="s">
        <v>817</v>
      </c>
      <c r="CU4" s="3016" t="s">
        <v>818</v>
      </c>
      <c r="CV4" s="3016" t="s">
        <v>819</v>
      </c>
      <c r="CW4" s="3016" t="s">
        <v>820</v>
      </c>
      <c r="CX4" s="3016" t="s">
        <v>821</v>
      </c>
      <c r="CY4" s="3016" t="s">
        <v>966</v>
      </c>
      <c r="CZ4" s="3016" t="s">
        <v>967</v>
      </c>
      <c r="DA4" s="3016" t="s">
        <v>968</v>
      </c>
      <c r="DB4" s="3016" t="s">
        <v>969</v>
      </c>
      <c r="DC4" s="3016" t="s">
        <v>2445</v>
      </c>
      <c r="DD4" s="3016" t="s">
        <v>1445</v>
      </c>
      <c r="DE4" s="3016" t="s">
        <v>1446</v>
      </c>
      <c r="DF4" s="3016" t="s">
        <v>1447</v>
      </c>
      <c r="DG4" s="3016" t="s">
        <v>1448</v>
      </c>
      <c r="DH4" s="3016" t="s">
        <v>1449</v>
      </c>
      <c r="DI4" s="3016" t="s">
        <v>438</v>
      </c>
      <c r="DJ4" s="3016" t="s">
        <v>439</v>
      </c>
      <c r="DK4" s="3016" t="s">
        <v>440</v>
      </c>
      <c r="DL4" s="3016" t="s">
        <v>441</v>
      </c>
      <c r="DM4" s="3016" t="s">
        <v>442</v>
      </c>
      <c r="DN4" s="3016" t="s">
        <v>17</v>
      </c>
      <c r="DO4" s="3016" t="s">
        <v>18</v>
      </c>
      <c r="DP4" s="3016" t="s">
        <v>19</v>
      </c>
      <c r="DQ4" s="3016" t="s">
        <v>20</v>
      </c>
      <c r="DR4" s="3016" t="s">
        <v>21</v>
      </c>
      <c r="DS4" s="3016" t="s">
        <v>224</v>
      </c>
      <c r="DT4" s="3016" t="s">
        <v>225</v>
      </c>
      <c r="DU4" s="3016" t="s">
        <v>226</v>
      </c>
      <c r="DV4" s="3016" t="s">
        <v>1824</v>
      </c>
      <c r="DW4" s="3016" t="s">
        <v>1825</v>
      </c>
      <c r="DX4" s="3016" t="s">
        <v>1826</v>
      </c>
      <c r="DY4" s="3016" t="s">
        <v>598</v>
      </c>
      <c r="DZ4" s="3016" t="s">
        <v>599</v>
      </c>
      <c r="EA4" s="3016" t="s">
        <v>600</v>
      </c>
      <c r="EB4" s="3016" t="s">
        <v>601</v>
      </c>
      <c r="EC4" s="3016" t="s">
        <v>22</v>
      </c>
      <c r="ED4" s="3016" t="s">
        <v>23</v>
      </c>
      <c r="EE4" s="3016" t="s">
        <v>24</v>
      </c>
      <c r="EF4" s="3016" t="s">
        <v>25</v>
      </c>
      <c r="EG4" s="3016" t="s">
        <v>26</v>
      </c>
      <c r="EH4" s="3016" t="s">
        <v>500</v>
      </c>
      <c r="EI4" s="3016" t="s">
        <v>434</v>
      </c>
      <c r="EJ4" s="3016" t="s">
        <v>435</v>
      </c>
      <c r="EK4" s="3016" t="s">
        <v>436</v>
      </c>
      <c r="EL4" s="3016" t="s">
        <v>437</v>
      </c>
      <c r="EM4" s="3016" t="s">
        <v>2224</v>
      </c>
      <c r="EN4" s="3016" t="s">
        <v>2225</v>
      </c>
      <c r="EO4" s="3016" t="s">
        <v>2226</v>
      </c>
      <c r="EP4" s="3016" t="s">
        <v>1491</v>
      </c>
      <c r="EQ4" s="3016" t="s">
        <v>1492</v>
      </c>
      <c r="ER4" s="3016" t="s">
        <v>27</v>
      </c>
      <c r="ES4" s="3016" t="s">
        <v>28</v>
      </c>
      <c r="ET4" s="3016" t="s">
        <v>29</v>
      </c>
      <c r="EU4" s="3016" t="s">
        <v>30</v>
      </c>
      <c r="EV4" s="3016"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3012" t="s">
        <v>1637</v>
      </c>
      <c r="IE4" s="3012" t="s">
        <v>2540</v>
      </c>
      <c r="IF4" s="3012" t="s">
        <v>2541</v>
      </c>
      <c r="IG4" s="3012" t="s">
        <v>388</v>
      </c>
      <c r="IH4" s="3012" t="s">
        <v>389</v>
      </c>
      <c r="II4" s="3012" t="s">
        <v>390</v>
      </c>
      <c r="IJ4" s="3012" t="s">
        <v>391</v>
      </c>
      <c r="IK4" s="3012" t="s">
        <v>392</v>
      </c>
      <c r="IL4" s="3012" t="s">
        <v>393</v>
      </c>
      <c r="IM4" s="3012" t="s">
        <v>394</v>
      </c>
      <c r="IN4" s="3012" t="s">
        <v>204</v>
      </c>
      <c r="IO4" s="3012" t="s">
        <v>205</v>
      </c>
      <c r="IP4" s="3012" t="s">
        <v>206</v>
      </c>
      <c r="IQ4" s="3012" t="s">
        <v>207</v>
      </c>
      <c r="IR4" s="3012" t="s">
        <v>208</v>
      </c>
      <c r="IS4" s="3012" t="s">
        <v>209</v>
      </c>
      <c r="IT4" s="3012" t="s">
        <v>210</v>
      </c>
      <c r="IU4" s="3012" t="s">
        <v>211</v>
      </c>
      <c r="IV4" s="3012" t="s">
        <v>212</v>
      </c>
      <c r="IW4" s="3012" t="s">
        <v>213</v>
      </c>
      <c r="IX4" s="3012" t="s">
        <v>214</v>
      </c>
      <c r="IY4" s="3012" t="s">
        <v>215</v>
      </c>
      <c r="IZ4" s="3012" t="s">
        <v>216</v>
      </c>
      <c r="JA4" s="3012" t="s">
        <v>217</v>
      </c>
      <c r="JB4" s="3012" t="s">
        <v>218</v>
      </c>
      <c r="JC4" s="3012"/>
      <c r="JD4" s="3012"/>
      <c r="JE4" s="3012"/>
      <c r="JF4" s="3012"/>
      <c r="JG4" s="3012"/>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15" customHeight="1">
      <c r="A5" s="3017" t="str">
        <f>IF(A48&gt;0,"Finish Row!","")</f>
        <v/>
      </c>
      <c r="B5" s="4" t="s">
        <v>1860</v>
      </c>
      <c r="D5" s="1"/>
      <c r="E5" s="4"/>
      <c r="F5" s="1"/>
      <c r="G5" s="2283"/>
      <c r="H5" s="1126"/>
      <c r="I5" s="1585" t="s">
        <v>806</v>
      </c>
      <c r="J5" s="1585" t="s">
        <v>3587</v>
      </c>
      <c r="K5" s="3009" t="s">
        <v>4551</v>
      </c>
      <c r="L5" s="3010"/>
      <c r="M5" s="1586" t="s">
        <v>581</v>
      </c>
      <c r="O5" s="1584" t="s">
        <v>1045</v>
      </c>
      <c r="P5" s="3014"/>
      <c r="Q5" s="1583"/>
      <c r="R5" s="97"/>
      <c r="S5" s="97"/>
      <c r="T5" s="97"/>
      <c r="W5" s="3013"/>
      <c r="X5" s="3013"/>
      <c r="Y5" s="3013"/>
      <c r="Z5" s="3013"/>
      <c r="AA5" s="3013"/>
      <c r="AB5" s="3013"/>
      <c r="AC5" s="3013"/>
      <c r="AD5" s="3013"/>
      <c r="AE5" s="3013"/>
      <c r="AF5" s="3013"/>
      <c r="AG5" s="3013"/>
      <c r="AH5" s="3013"/>
      <c r="AI5" s="3013"/>
      <c r="AJ5" s="3013"/>
      <c r="AK5" s="3013"/>
      <c r="AL5" s="3013"/>
      <c r="AM5" s="3013"/>
      <c r="AN5" s="3013"/>
      <c r="AO5" s="3013"/>
      <c r="AP5" s="3013"/>
      <c r="AQ5" s="3013"/>
      <c r="AR5" s="3013"/>
      <c r="AS5" s="3013"/>
      <c r="AT5" s="3013"/>
      <c r="AU5" s="3013"/>
      <c r="AV5" s="3013"/>
      <c r="AW5" s="3013"/>
      <c r="AX5" s="3013"/>
      <c r="AY5" s="3013"/>
      <c r="AZ5" s="3013"/>
      <c r="BA5" s="3013"/>
      <c r="BB5" s="3013"/>
      <c r="BC5" s="3013"/>
      <c r="BD5" s="3013"/>
      <c r="BE5" s="3013"/>
      <c r="BF5" s="3013"/>
      <c r="BG5" s="3013"/>
      <c r="BH5" s="3013"/>
      <c r="BI5" s="3013"/>
      <c r="BJ5" s="3013"/>
      <c r="BK5" s="3013"/>
      <c r="BL5" s="3013"/>
      <c r="BM5" s="3013"/>
      <c r="BN5" s="3013"/>
      <c r="BO5" s="3013"/>
      <c r="BP5" s="3013"/>
      <c r="BQ5" s="3013"/>
      <c r="BR5" s="3013"/>
      <c r="BS5" s="3013"/>
      <c r="BT5" s="3013"/>
      <c r="BU5" s="3013"/>
      <c r="BV5" s="3013"/>
      <c r="BW5" s="3013"/>
      <c r="BX5" s="3013"/>
      <c r="BY5" s="3013"/>
      <c r="BZ5" s="3013"/>
      <c r="CA5" s="3013"/>
      <c r="CB5" s="3013"/>
      <c r="CC5" s="3013"/>
      <c r="CD5" s="3013"/>
      <c r="CE5" s="3016"/>
      <c r="CF5" s="3016"/>
      <c r="CG5" s="3016"/>
      <c r="CH5" s="3016"/>
      <c r="CI5" s="3016"/>
      <c r="CJ5" s="3016"/>
      <c r="CK5" s="3016"/>
      <c r="CL5" s="3016"/>
      <c r="CM5" s="3016"/>
      <c r="CN5" s="3016"/>
      <c r="CO5" s="3016"/>
      <c r="CP5" s="3016"/>
      <c r="CQ5" s="3016"/>
      <c r="CR5" s="3016"/>
      <c r="CS5" s="3016"/>
      <c r="CT5" s="3016"/>
      <c r="CU5" s="3016"/>
      <c r="CV5" s="3016"/>
      <c r="CW5" s="3016"/>
      <c r="CX5" s="3016"/>
      <c r="CY5" s="3016"/>
      <c r="CZ5" s="3016"/>
      <c r="DA5" s="3016"/>
      <c r="DB5" s="3016"/>
      <c r="DC5" s="3016"/>
      <c r="DD5" s="3016"/>
      <c r="DE5" s="3016"/>
      <c r="DF5" s="3016"/>
      <c r="DG5" s="3016"/>
      <c r="DH5" s="3016"/>
      <c r="DI5" s="3016"/>
      <c r="DJ5" s="3016"/>
      <c r="DK5" s="3016"/>
      <c r="DL5" s="3016"/>
      <c r="DM5" s="3016"/>
      <c r="DN5" s="3016"/>
      <c r="DO5" s="3016"/>
      <c r="DP5" s="3016"/>
      <c r="DQ5" s="3016"/>
      <c r="DR5" s="3016"/>
      <c r="DS5" s="3016"/>
      <c r="DT5" s="3016"/>
      <c r="DU5" s="3016"/>
      <c r="DV5" s="3016"/>
      <c r="DW5" s="3016"/>
      <c r="DX5" s="3016"/>
      <c r="DY5" s="3016"/>
      <c r="DZ5" s="3016"/>
      <c r="EA5" s="3016"/>
      <c r="EB5" s="3016"/>
      <c r="EC5" s="3016"/>
      <c r="ED5" s="3016"/>
      <c r="EE5" s="3016"/>
      <c r="EF5" s="3016"/>
      <c r="EG5" s="3016"/>
      <c r="EH5" s="3016"/>
      <c r="EI5" s="3016"/>
      <c r="EJ5" s="3016"/>
      <c r="EK5" s="3016"/>
      <c r="EL5" s="3016"/>
      <c r="EM5" s="3016"/>
      <c r="EN5" s="3016"/>
      <c r="EO5" s="3016"/>
      <c r="EP5" s="3016"/>
      <c r="EQ5" s="3016"/>
      <c r="ER5" s="3016"/>
      <c r="ES5" s="3016"/>
      <c r="ET5" s="3016"/>
      <c r="EU5" s="3016"/>
      <c r="EV5" s="3016"/>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3012"/>
      <c r="IE5" s="3012"/>
      <c r="IF5" s="3012"/>
      <c r="IG5" s="3012"/>
      <c r="IH5" s="3012"/>
      <c r="II5" s="3012"/>
      <c r="IJ5" s="3012"/>
      <c r="IK5" s="3012"/>
      <c r="IL5" s="3012"/>
      <c r="IM5" s="3012"/>
      <c r="IN5" s="3012"/>
      <c r="IO5" s="3012"/>
      <c r="IP5" s="3012"/>
      <c r="IQ5" s="3012"/>
      <c r="IR5" s="3012"/>
      <c r="IS5" s="3012"/>
      <c r="IT5" s="3012"/>
      <c r="IU5" s="3012"/>
      <c r="IV5" s="3012"/>
      <c r="IW5" s="3012"/>
      <c r="IX5" s="3012"/>
      <c r="IY5" s="3012"/>
      <c r="IZ5" s="3012"/>
      <c r="JA5" s="3012"/>
      <c r="JB5" s="3012"/>
      <c r="JC5" s="3012"/>
      <c r="JD5" s="3012"/>
      <c r="JE5" s="3012"/>
      <c r="JF5" s="3012"/>
      <c r="JG5" s="3012"/>
      <c r="JH5" s="3021" t="s">
        <v>3439</v>
      </c>
      <c r="JI5" s="3021" t="s">
        <v>3440</v>
      </c>
      <c r="JJ5" s="3021" t="s">
        <v>3441</v>
      </c>
      <c r="JK5" s="3021" t="s">
        <v>3442</v>
      </c>
      <c r="JL5" s="3021" t="s">
        <v>3443</v>
      </c>
      <c r="JM5" s="3012" t="s">
        <v>3453</v>
      </c>
      <c r="JN5" s="3012" t="s">
        <v>3455</v>
      </c>
      <c r="JO5" s="3012" t="s">
        <v>3456</v>
      </c>
      <c r="JP5" s="3012" t="s">
        <v>3457</v>
      </c>
      <c r="JQ5" s="3012" t="s">
        <v>3458</v>
      </c>
      <c r="JR5" s="97"/>
      <c r="JS5" s="97"/>
      <c r="JT5" s="466"/>
      <c r="JU5" s="466"/>
      <c r="JV5" s="466"/>
      <c r="JW5" s="466"/>
      <c r="JX5" s="466"/>
      <c r="JY5" s="466"/>
      <c r="JZ5" s="466"/>
      <c r="KA5" s="466"/>
      <c r="KB5" s="466"/>
      <c r="KC5" s="466"/>
      <c r="KD5" s="466"/>
      <c r="KE5" s="466"/>
      <c r="KF5" s="466"/>
      <c r="KG5" s="466"/>
      <c r="KH5" s="466"/>
      <c r="KI5" s="466"/>
      <c r="KJ5" s="466"/>
    </row>
    <row r="6" spans="1:296" s="93" customFormat="1" ht="13.15" customHeight="1">
      <c r="A6" s="3017"/>
      <c r="B6" s="30" t="s">
        <v>1818</v>
      </c>
      <c r="D6" s="1"/>
      <c r="E6" s="4"/>
      <c r="F6" s="2284" t="s">
        <v>3013</v>
      </c>
      <c r="G6" s="1585" t="s">
        <v>3691</v>
      </c>
      <c r="H6" s="3014" t="s">
        <v>3919</v>
      </c>
      <c r="I6" s="1585" t="s">
        <v>807</v>
      </c>
      <c r="J6" s="1585" t="s">
        <v>3694</v>
      </c>
      <c r="K6" s="3010"/>
      <c r="L6" s="3010"/>
      <c r="M6" s="3018" t="str">
        <f>'Part I-Project Information'!$O$40</f>
        <v>Macon</v>
      </c>
      <c r="N6" s="3018"/>
      <c r="O6" s="928">
        <f>VLOOKUP('Part I-Project Information'!$O$40,'DCA Underwriting Assumptions'!$C$155:$D$265,2)</f>
        <v>49600</v>
      </c>
      <c r="P6" s="3014"/>
      <c r="Q6" s="1583"/>
      <c r="R6" s="97"/>
      <c r="S6" s="3019" t="s">
        <v>2715</v>
      </c>
      <c r="T6" s="3019"/>
      <c r="W6" s="3013"/>
      <c r="X6" s="3013"/>
      <c r="Y6" s="3013"/>
      <c r="Z6" s="3013"/>
      <c r="AA6" s="3013"/>
      <c r="AB6" s="3013"/>
      <c r="AC6" s="3013"/>
      <c r="AD6" s="3013"/>
      <c r="AE6" s="3013"/>
      <c r="AF6" s="3013"/>
      <c r="AG6" s="3013"/>
      <c r="AH6" s="3013"/>
      <c r="AI6" s="3013"/>
      <c r="AJ6" s="3013"/>
      <c r="AK6" s="3013"/>
      <c r="AL6" s="3013"/>
      <c r="AM6" s="3013"/>
      <c r="AN6" s="3013"/>
      <c r="AO6" s="3013"/>
      <c r="AP6" s="3013"/>
      <c r="AQ6" s="3013"/>
      <c r="AR6" s="3013"/>
      <c r="AS6" s="3013"/>
      <c r="AT6" s="3013"/>
      <c r="AU6" s="3013"/>
      <c r="AV6" s="3013"/>
      <c r="AW6" s="3013"/>
      <c r="AX6" s="3013"/>
      <c r="AY6" s="3013"/>
      <c r="AZ6" s="3013"/>
      <c r="BA6" s="3013"/>
      <c r="BB6" s="3013"/>
      <c r="BC6" s="3013"/>
      <c r="BD6" s="3013"/>
      <c r="BE6" s="3013"/>
      <c r="BF6" s="3013"/>
      <c r="BG6" s="3013"/>
      <c r="BH6" s="3013"/>
      <c r="BI6" s="3013"/>
      <c r="BJ6" s="3013"/>
      <c r="BK6" s="3013"/>
      <c r="BL6" s="3013"/>
      <c r="BM6" s="3013"/>
      <c r="BN6" s="3013"/>
      <c r="BO6" s="3013"/>
      <c r="BP6" s="3013"/>
      <c r="BQ6" s="3013"/>
      <c r="BR6" s="3013"/>
      <c r="BS6" s="3013"/>
      <c r="BT6" s="3013"/>
      <c r="BU6" s="3013"/>
      <c r="BV6" s="3013"/>
      <c r="BW6" s="3013"/>
      <c r="BX6" s="3013"/>
      <c r="BY6" s="3013"/>
      <c r="BZ6" s="3013"/>
      <c r="CA6" s="3013"/>
      <c r="CB6" s="3013"/>
      <c r="CC6" s="3013"/>
      <c r="CD6" s="3013"/>
      <c r="CE6" s="3016"/>
      <c r="CF6" s="3016"/>
      <c r="CG6" s="3016"/>
      <c r="CH6" s="3016"/>
      <c r="CI6" s="3016"/>
      <c r="CJ6" s="3016"/>
      <c r="CK6" s="3016"/>
      <c r="CL6" s="3016"/>
      <c r="CM6" s="3016"/>
      <c r="CN6" s="3016"/>
      <c r="CO6" s="3016"/>
      <c r="CP6" s="3016"/>
      <c r="CQ6" s="3016"/>
      <c r="CR6" s="3016"/>
      <c r="CS6" s="3016"/>
      <c r="CT6" s="3016"/>
      <c r="CU6" s="3016"/>
      <c r="CV6" s="3016"/>
      <c r="CW6" s="3016"/>
      <c r="CX6" s="3016"/>
      <c r="CY6" s="3016"/>
      <c r="CZ6" s="3016"/>
      <c r="DA6" s="3016"/>
      <c r="DB6" s="3016"/>
      <c r="DC6" s="3016"/>
      <c r="DD6" s="3016"/>
      <c r="DE6" s="3016"/>
      <c r="DF6" s="3016"/>
      <c r="DG6" s="3016"/>
      <c r="DH6" s="3016"/>
      <c r="DI6" s="3016"/>
      <c r="DJ6" s="3016"/>
      <c r="DK6" s="3016"/>
      <c r="DL6" s="3016"/>
      <c r="DM6" s="3016"/>
      <c r="DN6" s="3016"/>
      <c r="DO6" s="3016"/>
      <c r="DP6" s="3016"/>
      <c r="DQ6" s="3016"/>
      <c r="DR6" s="3016"/>
      <c r="DS6" s="3016"/>
      <c r="DT6" s="3016"/>
      <c r="DU6" s="3016"/>
      <c r="DV6" s="3016"/>
      <c r="DW6" s="3016"/>
      <c r="DX6" s="3016"/>
      <c r="DY6" s="3016"/>
      <c r="DZ6" s="3016"/>
      <c r="EA6" s="3016"/>
      <c r="EB6" s="3016"/>
      <c r="EC6" s="3016"/>
      <c r="ED6" s="3016"/>
      <c r="EE6" s="3016"/>
      <c r="EF6" s="3016"/>
      <c r="EG6" s="3016"/>
      <c r="EH6" s="3016"/>
      <c r="EI6" s="3016"/>
      <c r="EJ6" s="3016"/>
      <c r="EK6" s="3016"/>
      <c r="EL6" s="3016"/>
      <c r="EM6" s="3016"/>
      <c r="EN6" s="3016"/>
      <c r="EO6" s="3016"/>
      <c r="EP6" s="3016"/>
      <c r="EQ6" s="3016"/>
      <c r="ER6" s="3016"/>
      <c r="ES6" s="3016"/>
      <c r="ET6" s="3016"/>
      <c r="EU6" s="3016"/>
      <c r="EV6" s="3016"/>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3012"/>
      <c r="IE6" s="3012"/>
      <c r="IF6" s="3012"/>
      <c r="IG6" s="3012"/>
      <c r="IH6" s="3012"/>
      <c r="II6" s="3012"/>
      <c r="IJ6" s="3012"/>
      <c r="IK6" s="3012"/>
      <c r="IL6" s="3012"/>
      <c r="IM6" s="3012"/>
      <c r="IN6" s="3012"/>
      <c r="IO6" s="3012"/>
      <c r="IP6" s="3012"/>
      <c r="IQ6" s="3012"/>
      <c r="IR6" s="3012"/>
      <c r="IS6" s="3012"/>
      <c r="IT6" s="3012"/>
      <c r="IU6" s="3012"/>
      <c r="IV6" s="3012"/>
      <c r="IW6" s="3012"/>
      <c r="IX6" s="3012"/>
      <c r="IY6" s="3012"/>
      <c r="IZ6" s="3012"/>
      <c r="JA6" s="3012"/>
      <c r="JB6" s="3012"/>
      <c r="JC6" s="3012"/>
      <c r="JD6" s="3012"/>
      <c r="JE6" s="3012"/>
      <c r="JF6" s="3012"/>
      <c r="JG6" s="3012"/>
      <c r="JH6" s="3021"/>
      <c r="JI6" s="3021"/>
      <c r="JJ6" s="3021"/>
      <c r="JK6" s="3021"/>
      <c r="JL6" s="3021"/>
      <c r="JM6" s="3012"/>
      <c r="JN6" s="3012"/>
      <c r="JO6" s="3012"/>
      <c r="JP6" s="3012"/>
      <c r="JQ6" s="3012"/>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3017"/>
      <c r="B7" s="4"/>
      <c r="C7" s="1"/>
      <c r="D7" s="4"/>
      <c r="E7" s="1"/>
      <c r="F7" s="1"/>
      <c r="G7" s="1585" t="s">
        <v>3692</v>
      </c>
      <c r="H7" s="3014"/>
      <c r="I7" s="3032" t="s">
        <v>3879</v>
      </c>
      <c r="J7" s="1585" t="s">
        <v>3695</v>
      </c>
      <c r="K7" s="919"/>
      <c r="L7" s="919"/>
      <c r="M7" s="1"/>
      <c r="P7" s="3014"/>
      <c r="Q7" s="1583"/>
      <c r="R7" s="919"/>
      <c r="S7" s="920"/>
      <c r="T7" s="925" t="s">
        <v>2712</v>
      </c>
      <c r="U7" s="431"/>
      <c r="V7" s="432"/>
      <c r="W7" s="3013"/>
      <c r="X7" s="3013"/>
      <c r="Y7" s="3013"/>
      <c r="Z7" s="3013"/>
      <c r="AA7" s="3013"/>
      <c r="AB7" s="3013"/>
      <c r="AC7" s="3013"/>
      <c r="AD7" s="3013"/>
      <c r="AE7" s="3013"/>
      <c r="AF7" s="3013"/>
      <c r="AG7" s="3013"/>
      <c r="AH7" s="3013"/>
      <c r="AI7" s="3013"/>
      <c r="AJ7" s="3013"/>
      <c r="AK7" s="3013"/>
      <c r="AL7" s="3013"/>
      <c r="AM7" s="3013"/>
      <c r="AN7" s="3013"/>
      <c r="AO7" s="3013"/>
      <c r="AP7" s="3013"/>
      <c r="AQ7" s="3013"/>
      <c r="AR7" s="3013"/>
      <c r="AS7" s="3013"/>
      <c r="AT7" s="3013"/>
      <c r="AU7" s="3013"/>
      <c r="AV7" s="3013"/>
      <c r="AW7" s="3013"/>
      <c r="AX7" s="3013"/>
      <c r="AY7" s="3013"/>
      <c r="AZ7" s="3013"/>
      <c r="BA7" s="3013"/>
      <c r="BB7" s="3013"/>
      <c r="BC7" s="3013"/>
      <c r="BD7" s="3013"/>
      <c r="BE7" s="3013"/>
      <c r="BF7" s="3013"/>
      <c r="BG7" s="3013"/>
      <c r="BH7" s="3013"/>
      <c r="BI7" s="3013"/>
      <c r="BJ7" s="3013"/>
      <c r="BK7" s="3013"/>
      <c r="BL7" s="3013"/>
      <c r="BM7" s="3013"/>
      <c r="BN7" s="3013"/>
      <c r="BO7" s="3013"/>
      <c r="BP7" s="3013"/>
      <c r="BQ7" s="3013"/>
      <c r="BR7" s="3013"/>
      <c r="BS7" s="3013"/>
      <c r="BT7" s="3013"/>
      <c r="BU7" s="3013"/>
      <c r="BV7" s="3013"/>
      <c r="BW7" s="3013"/>
      <c r="BX7" s="3013"/>
      <c r="BY7" s="3013"/>
      <c r="BZ7" s="3013"/>
      <c r="CA7" s="3013"/>
      <c r="CB7" s="3013"/>
      <c r="CC7" s="3013"/>
      <c r="CD7" s="3013"/>
      <c r="CE7" s="3016"/>
      <c r="CF7" s="3016"/>
      <c r="CG7" s="3016"/>
      <c r="CH7" s="3016"/>
      <c r="CI7" s="3016"/>
      <c r="CJ7" s="3016"/>
      <c r="CK7" s="3016"/>
      <c r="CL7" s="3016"/>
      <c r="CM7" s="3016"/>
      <c r="CN7" s="3016"/>
      <c r="CO7" s="3016"/>
      <c r="CP7" s="3016"/>
      <c r="CQ7" s="3016"/>
      <c r="CR7" s="3016"/>
      <c r="CS7" s="3016"/>
      <c r="CT7" s="3016"/>
      <c r="CU7" s="3016"/>
      <c r="CV7" s="3016"/>
      <c r="CW7" s="3016"/>
      <c r="CX7" s="3016"/>
      <c r="CY7" s="3016"/>
      <c r="CZ7" s="3016"/>
      <c r="DA7" s="3016"/>
      <c r="DB7" s="3016"/>
      <c r="DC7" s="3016"/>
      <c r="DD7" s="3016"/>
      <c r="DE7" s="3016"/>
      <c r="DF7" s="3016"/>
      <c r="DG7" s="3016"/>
      <c r="DH7" s="3016"/>
      <c r="DI7" s="3016"/>
      <c r="DJ7" s="3016"/>
      <c r="DK7" s="3016"/>
      <c r="DL7" s="3016"/>
      <c r="DM7" s="3016"/>
      <c r="DN7" s="3016"/>
      <c r="DO7" s="3016"/>
      <c r="DP7" s="3016"/>
      <c r="DQ7" s="3016"/>
      <c r="DR7" s="3016"/>
      <c r="DS7" s="3016"/>
      <c r="DT7" s="3016"/>
      <c r="DU7" s="3016"/>
      <c r="DV7" s="3016"/>
      <c r="DW7" s="3016"/>
      <c r="DX7" s="3016"/>
      <c r="DY7" s="3016"/>
      <c r="DZ7" s="3016"/>
      <c r="EA7" s="3016"/>
      <c r="EB7" s="3016"/>
      <c r="EC7" s="3016"/>
      <c r="ED7" s="3016"/>
      <c r="EE7" s="3016"/>
      <c r="EF7" s="3016"/>
      <c r="EG7" s="3016"/>
      <c r="EH7" s="3016"/>
      <c r="EI7" s="3016"/>
      <c r="EJ7" s="3016"/>
      <c r="EK7" s="3016"/>
      <c r="EL7" s="3016"/>
      <c r="EM7" s="3016"/>
      <c r="EN7" s="3016"/>
      <c r="EO7" s="3016"/>
      <c r="EP7" s="3016"/>
      <c r="EQ7" s="3016"/>
      <c r="ER7" s="3016"/>
      <c r="ES7" s="3016"/>
      <c r="ET7" s="3016"/>
      <c r="EU7" s="3016"/>
      <c r="EV7" s="3016"/>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3012"/>
      <c r="IE7" s="3012"/>
      <c r="IF7" s="3012"/>
      <c r="IG7" s="3012"/>
      <c r="IH7" s="3012"/>
      <c r="II7" s="3012"/>
      <c r="IJ7" s="3012"/>
      <c r="IK7" s="3012"/>
      <c r="IL7" s="3012"/>
      <c r="IM7" s="3012"/>
      <c r="IN7" s="3012"/>
      <c r="IO7" s="3012"/>
      <c r="IP7" s="3012"/>
      <c r="IQ7" s="3012"/>
      <c r="IR7" s="3012"/>
      <c r="IS7" s="3012"/>
      <c r="IT7" s="3012"/>
      <c r="IU7" s="3012"/>
      <c r="IV7" s="3012"/>
      <c r="IW7" s="3012"/>
      <c r="IX7" s="3012"/>
      <c r="IY7" s="3012"/>
      <c r="IZ7" s="3012"/>
      <c r="JA7" s="3012"/>
      <c r="JB7" s="3012"/>
      <c r="JC7" s="3012"/>
      <c r="JD7" s="3012"/>
      <c r="JE7" s="3012"/>
      <c r="JF7" s="3012"/>
      <c r="JG7" s="3012"/>
      <c r="JH7" s="3021"/>
      <c r="JI7" s="3021"/>
      <c r="JJ7" s="3021"/>
      <c r="JK7" s="3021"/>
      <c r="JL7" s="3021"/>
      <c r="JM7" s="3012"/>
      <c r="JN7" s="3012"/>
      <c r="JO7" s="3012"/>
      <c r="JP7" s="3012"/>
      <c r="JQ7" s="3012"/>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3017"/>
      <c r="B8" s="1158" t="s">
        <v>1490</v>
      </c>
      <c r="C8" s="1585" t="s">
        <v>173</v>
      </c>
      <c r="D8" s="1585" t="s">
        <v>550</v>
      </c>
      <c r="E8" s="1585" t="s">
        <v>1488</v>
      </c>
      <c r="F8" s="1585" t="s">
        <v>1488</v>
      </c>
      <c r="G8" s="1585" t="s">
        <v>1490</v>
      </c>
      <c r="H8" s="1585" t="s">
        <v>3692</v>
      </c>
      <c r="I8" s="3032"/>
      <c r="J8" s="1585" t="s">
        <v>2422</v>
      </c>
      <c r="K8" s="3020" t="s">
        <v>146</v>
      </c>
      <c r="L8" s="3020"/>
      <c r="M8" s="1585" t="s">
        <v>2383</v>
      </c>
      <c r="N8" s="1585" t="s">
        <v>537</v>
      </c>
      <c r="O8" s="1585" t="s">
        <v>385</v>
      </c>
      <c r="P8" s="3014"/>
      <c r="Q8" s="3020" t="s">
        <v>3597</v>
      </c>
      <c r="R8" s="3020"/>
      <c r="S8" s="1585" t="s">
        <v>2711</v>
      </c>
      <c r="T8" s="1585" t="s">
        <v>2713</v>
      </c>
      <c r="U8" s="433"/>
      <c r="V8" s="434"/>
      <c r="W8" s="3013"/>
      <c r="X8" s="3013"/>
      <c r="Y8" s="3013"/>
      <c r="Z8" s="3013"/>
      <c r="AA8" s="3013"/>
      <c r="AB8" s="3013"/>
      <c r="AC8" s="3013"/>
      <c r="AD8" s="3013"/>
      <c r="AE8" s="3013"/>
      <c r="AF8" s="3013"/>
      <c r="AG8" s="3013"/>
      <c r="AH8" s="3013"/>
      <c r="AI8" s="3013"/>
      <c r="AJ8" s="3013"/>
      <c r="AK8" s="3013"/>
      <c r="AL8" s="3013"/>
      <c r="AM8" s="3013"/>
      <c r="AN8" s="3013"/>
      <c r="AO8" s="3013"/>
      <c r="AP8" s="3013"/>
      <c r="AQ8" s="3013"/>
      <c r="AR8" s="3013"/>
      <c r="AS8" s="3013"/>
      <c r="AT8" s="3013"/>
      <c r="AU8" s="3013"/>
      <c r="AV8" s="3013"/>
      <c r="AW8" s="3013"/>
      <c r="AX8" s="3013"/>
      <c r="AY8" s="3013"/>
      <c r="AZ8" s="3013"/>
      <c r="BA8" s="3013"/>
      <c r="BB8" s="3013"/>
      <c r="BC8" s="3013"/>
      <c r="BD8" s="3013"/>
      <c r="BE8" s="3013"/>
      <c r="BF8" s="3013"/>
      <c r="BG8" s="3013"/>
      <c r="BH8" s="3013"/>
      <c r="BI8" s="3013"/>
      <c r="BJ8" s="3013"/>
      <c r="BK8" s="3013"/>
      <c r="BL8" s="3013"/>
      <c r="BM8" s="3013"/>
      <c r="BN8" s="3013"/>
      <c r="BO8" s="3013"/>
      <c r="BP8" s="3013"/>
      <c r="BQ8" s="3013"/>
      <c r="BR8" s="3013"/>
      <c r="BS8" s="3013"/>
      <c r="BT8" s="3013"/>
      <c r="BU8" s="3013"/>
      <c r="BV8" s="3013"/>
      <c r="BW8" s="3013"/>
      <c r="BX8" s="3013"/>
      <c r="BY8" s="3013"/>
      <c r="BZ8" s="3013"/>
      <c r="CA8" s="3013"/>
      <c r="CB8" s="3013"/>
      <c r="CC8" s="3013"/>
      <c r="CD8" s="3013"/>
      <c r="CE8" s="3016"/>
      <c r="CF8" s="3016"/>
      <c r="CG8" s="3016"/>
      <c r="CH8" s="3016"/>
      <c r="CI8" s="3016"/>
      <c r="CJ8" s="3016"/>
      <c r="CK8" s="3016"/>
      <c r="CL8" s="3016"/>
      <c r="CM8" s="3016"/>
      <c r="CN8" s="3016"/>
      <c r="CO8" s="3016"/>
      <c r="CP8" s="3016"/>
      <c r="CQ8" s="3016"/>
      <c r="CR8" s="3016"/>
      <c r="CS8" s="3016"/>
      <c r="CT8" s="3016"/>
      <c r="CU8" s="3016"/>
      <c r="CV8" s="3016"/>
      <c r="CW8" s="3016"/>
      <c r="CX8" s="3016"/>
      <c r="CY8" s="3016"/>
      <c r="CZ8" s="3016"/>
      <c r="DA8" s="3016"/>
      <c r="DB8" s="3016"/>
      <c r="DC8" s="3016"/>
      <c r="DD8" s="3016"/>
      <c r="DE8" s="3016"/>
      <c r="DF8" s="3016"/>
      <c r="DG8" s="3016"/>
      <c r="DH8" s="3016"/>
      <c r="DI8" s="3016"/>
      <c r="DJ8" s="3016"/>
      <c r="DK8" s="3016"/>
      <c r="DL8" s="3016"/>
      <c r="DM8" s="3016"/>
      <c r="DN8" s="3016"/>
      <c r="DO8" s="3016"/>
      <c r="DP8" s="3016"/>
      <c r="DQ8" s="3016"/>
      <c r="DR8" s="3016"/>
      <c r="DS8" s="3016"/>
      <c r="DT8" s="3016"/>
      <c r="DU8" s="3016"/>
      <c r="DV8" s="3016"/>
      <c r="DW8" s="3016"/>
      <c r="DX8" s="3016"/>
      <c r="DY8" s="3016"/>
      <c r="DZ8" s="3016"/>
      <c r="EA8" s="3016"/>
      <c r="EB8" s="3016"/>
      <c r="EC8" s="3016"/>
      <c r="ED8" s="3016"/>
      <c r="EE8" s="3016"/>
      <c r="EF8" s="3016"/>
      <c r="EG8" s="3016"/>
      <c r="EH8" s="3016"/>
      <c r="EI8" s="3016"/>
      <c r="EJ8" s="3016"/>
      <c r="EK8" s="3016"/>
      <c r="EL8" s="3016"/>
      <c r="EM8" s="3016"/>
      <c r="EN8" s="3016"/>
      <c r="EO8" s="3016"/>
      <c r="EP8" s="3016"/>
      <c r="EQ8" s="3016"/>
      <c r="ER8" s="3016"/>
      <c r="ES8" s="3016"/>
      <c r="ET8" s="3016"/>
      <c r="EU8" s="3016"/>
      <c r="EV8" s="3016"/>
      <c r="EW8" s="3016" t="s">
        <v>1474</v>
      </c>
      <c r="EX8" s="473" t="s">
        <v>2456</v>
      </c>
      <c r="EY8" s="473" t="s">
        <v>2457</v>
      </c>
      <c r="EZ8" s="473" t="s">
        <v>2458</v>
      </c>
      <c r="FA8" s="473" t="s">
        <v>2459</v>
      </c>
      <c r="FB8" s="3012" t="s">
        <v>2513</v>
      </c>
      <c r="FC8" s="3012" t="s">
        <v>2513</v>
      </c>
      <c r="FD8" s="3012" t="s">
        <v>2513</v>
      </c>
      <c r="FE8" s="3012" t="s">
        <v>2513</v>
      </c>
      <c r="FF8" s="3012" t="s">
        <v>2513</v>
      </c>
      <c r="FG8" s="3012" t="s">
        <v>3387</v>
      </c>
      <c r="FH8" s="3012" t="s">
        <v>3387</v>
      </c>
      <c r="FI8" s="3012" t="s">
        <v>3387</v>
      </c>
      <c r="FJ8" s="3012" t="s">
        <v>3387</v>
      </c>
      <c r="FK8" s="3012" t="s">
        <v>3387</v>
      </c>
      <c r="FL8" s="473" t="s">
        <v>573</v>
      </c>
      <c r="FM8" s="473" t="s">
        <v>2456</v>
      </c>
      <c r="FN8" s="473" t="s">
        <v>2457</v>
      </c>
      <c r="FO8" s="473" t="s">
        <v>2458</v>
      </c>
      <c r="FP8" s="473" t="s">
        <v>2459</v>
      </c>
      <c r="FQ8" s="473" t="s">
        <v>573</v>
      </c>
      <c r="FR8" s="473" t="s">
        <v>2456</v>
      </c>
      <c r="FS8" s="473" t="s">
        <v>2457</v>
      </c>
      <c r="FT8" s="473" t="s">
        <v>2458</v>
      </c>
      <c r="FU8" s="473" t="s">
        <v>2459</v>
      </c>
      <c r="FV8" s="3012" t="s">
        <v>2515</v>
      </c>
      <c r="FW8" s="3012" t="s">
        <v>2515</v>
      </c>
      <c r="FX8" s="3012" t="s">
        <v>2515</v>
      </c>
      <c r="FY8" s="3012" t="s">
        <v>2515</v>
      </c>
      <c r="FZ8" s="3012" t="s">
        <v>2515</v>
      </c>
      <c r="GA8" s="3012" t="s">
        <v>3383</v>
      </c>
      <c r="GB8" s="3012" t="s">
        <v>3383</v>
      </c>
      <c r="GC8" s="3012" t="s">
        <v>3383</v>
      </c>
      <c r="GD8" s="3012" t="s">
        <v>3383</v>
      </c>
      <c r="GE8" s="3012" t="s">
        <v>3383</v>
      </c>
      <c r="GF8" s="3012" t="s">
        <v>360</v>
      </c>
      <c r="GG8" s="3012" t="s">
        <v>360</v>
      </c>
      <c r="GH8" s="3012" t="s">
        <v>360</v>
      </c>
      <c r="GI8" s="3012" t="s">
        <v>360</v>
      </c>
      <c r="GJ8" s="3012" t="s">
        <v>360</v>
      </c>
      <c r="GK8" s="3012" t="s">
        <v>3382</v>
      </c>
      <c r="GL8" s="3012" t="s">
        <v>3382</v>
      </c>
      <c r="GM8" s="3012" t="s">
        <v>3382</v>
      </c>
      <c r="GN8" s="3012" t="s">
        <v>3382</v>
      </c>
      <c r="GO8" s="3012" t="s">
        <v>3382</v>
      </c>
      <c r="GP8" s="3012" t="s">
        <v>361</v>
      </c>
      <c r="GQ8" s="3012" t="s">
        <v>361</v>
      </c>
      <c r="GR8" s="3012" t="s">
        <v>361</v>
      </c>
      <c r="GS8" s="3012" t="s">
        <v>361</v>
      </c>
      <c r="GT8" s="3012" t="s">
        <v>361</v>
      </c>
      <c r="GU8" s="3012" t="s">
        <v>3381</v>
      </c>
      <c r="GV8" s="3012" t="s">
        <v>3381</v>
      </c>
      <c r="GW8" s="3012" t="s">
        <v>3381</v>
      </c>
      <c r="GX8" s="3012" t="s">
        <v>3381</v>
      </c>
      <c r="GY8" s="3012" t="s">
        <v>3381</v>
      </c>
      <c r="GZ8" s="3012" t="s">
        <v>362</v>
      </c>
      <c r="HA8" s="3012" t="s">
        <v>362</v>
      </c>
      <c r="HB8" s="3012" t="s">
        <v>362</v>
      </c>
      <c r="HC8" s="3012" t="s">
        <v>362</v>
      </c>
      <c r="HD8" s="3012" t="s">
        <v>362</v>
      </c>
      <c r="HE8" s="3012" t="s">
        <v>3384</v>
      </c>
      <c r="HF8" s="3012" t="s">
        <v>3384</v>
      </c>
      <c r="HG8" s="3012" t="s">
        <v>3384</v>
      </c>
      <c r="HH8" s="3012" t="s">
        <v>3384</v>
      </c>
      <c r="HI8" s="3012" t="s">
        <v>3384</v>
      </c>
      <c r="HJ8" s="3012" t="s">
        <v>363</v>
      </c>
      <c r="HK8" s="3012" t="s">
        <v>363</v>
      </c>
      <c r="HL8" s="3012" t="s">
        <v>363</v>
      </c>
      <c r="HM8" s="3012" t="s">
        <v>363</v>
      </c>
      <c r="HN8" s="3012" t="s">
        <v>363</v>
      </c>
      <c r="HO8" s="3012" t="s">
        <v>3385</v>
      </c>
      <c r="HP8" s="3012" t="s">
        <v>3385</v>
      </c>
      <c r="HQ8" s="3012" t="s">
        <v>3385</v>
      </c>
      <c r="HR8" s="3012" t="s">
        <v>3385</v>
      </c>
      <c r="HS8" s="3012" t="s">
        <v>3385</v>
      </c>
      <c r="HT8" s="3012" t="s">
        <v>1473</v>
      </c>
      <c r="HU8" s="3012" t="s">
        <v>1473</v>
      </c>
      <c r="HV8" s="3012" t="s">
        <v>1473</v>
      </c>
      <c r="HW8" s="3012" t="s">
        <v>1473</v>
      </c>
      <c r="HX8" s="3012" t="s">
        <v>1473</v>
      </c>
      <c r="HY8" s="3012" t="s">
        <v>3386</v>
      </c>
      <c r="HZ8" s="3012" t="s">
        <v>3386</v>
      </c>
      <c r="IA8" s="3012" t="s">
        <v>3386</v>
      </c>
      <c r="IB8" s="3012" t="s">
        <v>3386</v>
      </c>
      <c r="IC8" s="3012" t="s">
        <v>3386</v>
      </c>
      <c r="ID8" s="3012"/>
      <c r="IE8" s="3012"/>
      <c r="IF8" s="3012"/>
      <c r="IG8" s="3012"/>
      <c r="IH8" s="3012"/>
      <c r="II8" s="3012"/>
      <c r="IJ8" s="3012"/>
      <c r="IK8" s="3012"/>
      <c r="IL8" s="3012"/>
      <c r="IM8" s="3012"/>
      <c r="IN8" s="3012"/>
      <c r="IO8" s="3012"/>
      <c r="IP8" s="3012"/>
      <c r="IQ8" s="3012"/>
      <c r="IR8" s="3012"/>
      <c r="IS8" s="3012"/>
      <c r="IT8" s="3012"/>
      <c r="IU8" s="3012"/>
      <c r="IV8" s="3012"/>
      <c r="IW8" s="3012"/>
      <c r="IX8" s="3012"/>
      <c r="IY8" s="3012"/>
      <c r="IZ8" s="3012"/>
      <c r="JA8" s="3012"/>
      <c r="JB8" s="3012"/>
      <c r="JC8" s="3012"/>
      <c r="JD8" s="3012"/>
      <c r="JE8" s="3012"/>
      <c r="JF8" s="3012"/>
      <c r="JG8" s="3012"/>
      <c r="JH8" s="3021"/>
      <c r="JI8" s="3021"/>
      <c r="JJ8" s="3021"/>
      <c r="JK8" s="3021"/>
      <c r="JL8" s="3021"/>
      <c r="JM8" s="3012"/>
      <c r="JN8" s="3012"/>
      <c r="JO8" s="3012"/>
      <c r="JP8" s="3012"/>
      <c r="JQ8" s="3012"/>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3017"/>
      <c r="B9" s="1158" t="s">
        <v>1308</v>
      </c>
      <c r="C9" s="1585" t="s">
        <v>172</v>
      </c>
      <c r="D9" s="1585" t="s">
        <v>174</v>
      </c>
      <c r="E9" s="1585" t="s">
        <v>1489</v>
      </c>
      <c r="F9" s="1585" t="s">
        <v>1291</v>
      </c>
      <c r="G9" s="1585" t="s">
        <v>3693</v>
      </c>
      <c r="H9" s="1585" t="s">
        <v>1490</v>
      </c>
      <c r="I9" s="3033"/>
      <c r="J9" s="465" t="s">
        <v>352</v>
      </c>
      <c r="K9" s="1585" t="s">
        <v>1542</v>
      </c>
      <c r="L9" s="1585" t="s">
        <v>544</v>
      </c>
      <c r="M9" s="1585" t="s">
        <v>1488</v>
      </c>
      <c r="N9" s="1585" t="s">
        <v>3336</v>
      </c>
      <c r="O9" s="1585" t="s">
        <v>386</v>
      </c>
      <c r="P9" s="3015"/>
      <c r="Q9" s="1585" t="s">
        <v>3598</v>
      </c>
      <c r="R9" s="1585" t="s">
        <v>1050</v>
      </c>
      <c r="S9" s="1585" t="s">
        <v>1490</v>
      </c>
      <c r="T9" s="1585" t="s">
        <v>2714</v>
      </c>
      <c r="U9" s="2710" t="s">
        <v>1859</v>
      </c>
      <c r="V9" s="2710"/>
      <c r="W9" s="3013"/>
      <c r="X9" s="3013"/>
      <c r="Y9" s="3013"/>
      <c r="Z9" s="3013"/>
      <c r="AA9" s="3013"/>
      <c r="AB9" s="3013"/>
      <c r="AC9" s="3013"/>
      <c r="AD9" s="3013"/>
      <c r="AE9" s="3013"/>
      <c r="AF9" s="3013"/>
      <c r="AG9" s="3013"/>
      <c r="AH9" s="3013"/>
      <c r="AI9" s="3013"/>
      <c r="AJ9" s="3013"/>
      <c r="AK9" s="3013"/>
      <c r="AL9" s="3013"/>
      <c r="AM9" s="3013"/>
      <c r="AN9" s="3013"/>
      <c r="AO9" s="3013"/>
      <c r="AP9" s="3013"/>
      <c r="AQ9" s="3013"/>
      <c r="AR9" s="3013"/>
      <c r="AS9" s="3013"/>
      <c r="AT9" s="3013"/>
      <c r="AU9" s="3013"/>
      <c r="AV9" s="3013"/>
      <c r="AW9" s="3013"/>
      <c r="AX9" s="3013"/>
      <c r="AY9" s="3013"/>
      <c r="AZ9" s="3013"/>
      <c r="BA9" s="3013"/>
      <c r="BB9" s="3013"/>
      <c r="BC9" s="3013"/>
      <c r="BD9" s="3013"/>
      <c r="BE9" s="3013"/>
      <c r="BF9" s="3013"/>
      <c r="BG9" s="3013"/>
      <c r="BH9" s="3013"/>
      <c r="BI9" s="3013"/>
      <c r="BJ9" s="3013"/>
      <c r="BK9" s="3013"/>
      <c r="BL9" s="3013"/>
      <c r="BM9" s="3013"/>
      <c r="BN9" s="3013"/>
      <c r="BO9" s="3013"/>
      <c r="BP9" s="3013"/>
      <c r="BQ9" s="3013"/>
      <c r="BR9" s="3013"/>
      <c r="BS9" s="3013"/>
      <c r="BT9" s="3013"/>
      <c r="BU9" s="3013"/>
      <c r="BV9" s="3013"/>
      <c r="BW9" s="3013"/>
      <c r="BX9" s="3013"/>
      <c r="BY9" s="3013"/>
      <c r="BZ9" s="3013"/>
      <c r="CA9" s="3013"/>
      <c r="CB9" s="3013"/>
      <c r="CC9" s="3013"/>
      <c r="CD9" s="3013"/>
      <c r="CE9" s="3016"/>
      <c r="CF9" s="3016"/>
      <c r="CG9" s="3016"/>
      <c r="CH9" s="3016"/>
      <c r="CI9" s="3016"/>
      <c r="CJ9" s="3016"/>
      <c r="CK9" s="3016"/>
      <c r="CL9" s="3016"/>
      <c r="CM9" s="3016"/>
      <c r="CN9" s="3016"/>
      <c r="CO9" s="3016"/>
      <c r="CP9" s="3016"/>
      <c r="CQ9" s="3016"/>
      <c r="CR9" s="3016"/>
      <c r="CS9" s="3016"/>
      <c r="CT9" s="3016"/>
      <c r="CU9" s="3016"/>
      <c r="CV9" s="3016"/>
      <c r="CW9" s="3016"/>
      <c r="CX9" s="3016"/>
      <c r="CY9" s="3016"/>
      <c r="CZ9" s="3016"/>
      <c r="DA9" s="3016"/>
      <c r="DB9" s="3016"/>
      <c r="DC9" s="3016"/>
      <c r="DD9" s="3016"/>
      <c r="DE9" s="3016"/>
      <c r="DF9" s="3016"/>
      <c r="DG9" s="3016"/>
      <c r="DH9" s="3016"/>
      <c r="DI9" s="3016"/>
      <c r="DJ9" s="3016"/>
      <c r="DK9" s="3016"/>
      <c r="DL9" s="3016"/>
      <c r="DM9" s="3016"/>
      <c r="DN9" s="3016"/>
      <c r="DO9" s="3016"/>
      <c r="DP9" s="3016"/>
      <c r="DQ9" s="3016"/>
      <c r="DR9" s="3016"/>
      <c r="DS9" s="3016"/>
      <c r="DT9" s="3016"/>
      <c r="DU9" s="3016"/>
      <c r="DV9" s="3016"/>
      <c r="DW9" s="3016"/>
      <c r="DX9" s="3016"/>
      <c r="DY9" s="3016"/>
      <c r="DZ9" s="3016"/>
      <c r="EA9" s="3016"/>
      <c r="EB9" s="3016"/>
      <c r="EC9" s="3016"/>
      <c r="ED9" s="3016"/>
      <c r="EE9" s="3016"/>
      <c r="EF9" s="3016"/>
      <c r="EG9" s="3016"/>
      <c r="EH9" s="3016"/>
      <c r="EI9" s="3016"/>
      <c r="EJ9" s="3016"/>
      <c r="EK9" s="3016"/>
      <c r="EL9" s="3016"/>
      <c r="EM9" s="3016"/>
      <c r="EN9" s="3016"/>
      <c r="EO9" s="3016"/>
      <c r="EP9" s="3016"/>
      <c r="EQ9" s="3016"/>
      <c r="ER9" s="3016"/>
      <c r="ES9" s="3016"/>
      <c r="ET9" s="3016"/>
      <c r="EU9" s="3016"/>
      <c r="EV9" s="3016"/>
      <c r="EW9" s="3016"/>
      <c r="EX9" s="473" t="s">
        <v>2512</v>
      </c>
      <c r="EY9" s="473" t="s">
        <v>2512</v>
      </c>
      <c r="EZ9" s="473" t="s">
        <v>2512</v>
      </c>
      <c r="FA9" s="473" t="s">
        <v>2512</v>
      </c>
      <c r="FB9" s="3012"/>
      <c r="FC9" s="3012"/>
      <c r="FD9" s="3012"/>
      <c r="FE9" s="3012"/>
      <c r="FF9" s="3012"/>
      <c r="FG9" s="3012"/>
      <c r="FH9" s="3012"/>
      <c r="FI9" s="3012"/>
      <c r="FJ9" s="3012"/>
      <c r="FK9" s="3012"/>
      <c r="FL9" s="473" t="s">
        <v>2514</v>
      </c>
      <c r="FM9" s="473" t="s">
        <v>2514</v>
      </c>
      <c r="FN9" s="473" t="s">
        <v>2514</v>
      </c>
      <c r="FO9" s="473" t="s">
        <v>2514</v>
      </c>
      <c r="FP9" s="473" t="s">
        <v>2514</v>
      </c>
      <c r="FQ9" s="473" t="s">
        <v>3388</v>
      </c>
      <c r="FR9" s="473" t="s">
        <v>3388</v>
      </c>
      <c r="FS9" s="473" t="s">
        <v>3388</v>
      </c>
      <c r="FT9" s="473" t="s">
        <v>3388</v>
      </c>
      <c r="FU9" s="473" t="s">
        <v>3388</v>
      </c>
      <c r="FV9" s="3012"/>
      <c r="FW9" s="3012"/>
      <c r="FX9" s="3012"/>
      <c r="FY9" s="3012"/>
      <c r="FZ9" s="3012"/>
      <c r="GA9" s="3012"/>
      <c r="GB9" s="3012"/>
      <c r="GC9" s="3012"/>
      <c r="GD9" s="3012"/>
      <c r="GE9" s="3012"/>
      <c r="GF9" s="3012"/>
      <c r="GG9" s="3012"/>
      <c r="GH9" s="3012"/>
      <c r="GI9" s="3012"/>
      <c r="GJ9" s="3012"/>
      <c r="GK9" s="3012"/>
      <c r="GL9" s="3012"/>
      <c r="GM9" s="3012"/>
      <c r="GN9" s="3012"/>
      <c r="GO9" s="3012"/>
      <c r="GP9" s="3012"/>
      <c r="GQ9" s="3012"/>
      <c r="GR9" s="3012"/>
      <c r="GS9" s="3012"/>
      <c r="GT9" s="3012"/>
      <c r="GU9" s="3012"/>
      <c r="GV9" s="3012"/>
      <c r="GW9" s="3012"/>
      <c r="GX9" s="3012"/>
      <c r="GY9" s="3012"/>
      <c r="GZ9" s="3012"/>
      <c r="HA9" s="3012"/>
      <c r="HB9" s="3012"/>
      <c r="HC9" s="3012"/>
      <c r="HD9" s="3012"/>
      <c r="HE9" s="3012"/>
      <c r="HF9" s="3012"/>
      <c r="HG9" s="3012"/>
      <c r="HH9" s="3012"/>
      <c r="HI9" s="3012"/>
      <c r="HJ9" s="3012"/>
      <c r="HK9" s="3012"/>
      <c r="HL9" s="3012"/>
      <c r="HM9" s="3012"/>
      <c r="HN9" s="3012"/>
      <c r="HO9" s="3012"/>
      <c r="HP9" s="3012"/>
      <c r="HQ9" s="3012"/>
      <c r="HR9" s="3012"/>
      <c r="HS9" s="3012"/>
      <c r="HT9" s="3012"/>
      <c r="HU9" s="3012"/>
      <c r="HV9" s="3012"/>
      <c r="HW9" s="3012"/>
      <c r="HX9" s="3012"/>
      <c r="HY9" s="3012"/>
      <c r="HZ9" s="3012"/>
      <c r="IA9" s="3012"/>
      <c r="IB9" s="3012"/>
      <c r="IC9" s="3012"/>
      <c r="ID9" s="3012"/>
      <c r="IE9" s="3012"/>
      <c r="IF9" s="3012"/>
      <c r="IG9" s="3012"/>
      <c r="IH9" s="3012"/>
      <c r="II9" s="3012"/>
      <c r="IJ9" s="3012"/>
      <c r="IK9" s="3012"/>
      <c r="IL9" s="3012"/>
      <c r="IM9" s="3012"/>
      <c r="IN9" s="3012"/>
      <c r="IO9" s="3012"/>
      <c r="IP9" s="3012"/>
      <c r="IQ9" s="3012"/>
      <c r="IR9" s="3012"/>
      <c r="IS9" s="3012"/>
      <c r="IT9" s="3012"/>
      <c r="IU9" s="3012"/>
      <c r="IV9" s="3012"/>
      <c r="IW9" s="3012"/>
      <c r="IX9" s="3012"/>
      <c r="IY9" s="3012"/>
      <c r="IZ9" s="3012"/>
      <c r="JA9" s="3012"/>
      <c r="JB9" s="3012"/>
      <c r="JC9" s="3012"/>
      <c r="JD9" s="3012"/>
      <c r="JE9" s="3012"/>
      <c r="JF9" s="3012"/>
      <c r="JG9" s="3012"/>
      <c r="JH9" s="3021"/>
      <c r="JI9" s="3021"/>
      <c r="JJ9" s="3021"/>
      <c r="JK9" s="3021"/>
      <c r="JL9" s="3021"/>
      <c r="JM9" s="3012"/>
      <c r="JN9" s="3012"/>
      <c r="JO9" s="3012"/>
      <c r="JP9" s="3012"/>
      <c r="JQ9" s="3012"/>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t="str">
        <f t="shared" ref="A10:A47" si="0">IF(AND(E10&gt;0,OR(B10="",C10="",D10="",F10="",G10="", H10="",M10="",N10="",O10="",P10="")),1,"")</f>
        <v/>
      </c>
      <c r="B10" s="2285" t="s">
        <v>1159</v>
      </c>
      <c r="C10" s="2286">
        <v>2</v>
      </c>
      <c r="D10" s="2287">
        <v>2.5</v>
      </c>
      <c r="E10" s="2288">
        <v>14</v>
      </c>
      <c r="F10" s="2288">
        <v>1250</v>
      </c>
      <c r="G10" s="2288">
        <v>670</v>
      </c>
      <c r="H10" s="2288">
        <v>670</v>
      </c>
      <c r="I10" s="2289">
        <f>IF(C10="",0,HLOOKUP(C10,'Part V-Utility Allowances'!$I$11:$M$21,11))</f>
        <v>147</v>
      </c>
      <c r="J10" s="2290"/>
      <c r="K10" s="629">
        <f t="shared" ref="K10:K47" si="1">MAX(0,H10-I10)</f>
        <v>523</v>
      </c>
      <c r="L10" s="629">
        <f t="shared" ref="L10:L47" si="2">MAX(0,E10*K10)</f>
        <v>7322</v>
      </c>
      <c r="M10" s="2291" t="s">
        <v>3013</v>
      </c>
      <c r="N10" s="2291" t="s">
        <v>570</v>
      </c>
      <c r="O10" s="2291" t="s">
        <v>2311</v>
      </c>
      <c r="P10" s="2292" t="s">
        <v>3013</v>
      </c>
      <c r="Q10" s="2293">
        <f t="shared" ref="Q10:Q47" si="3">IF(H10="","",H10*12/0.3)</f>
        <v>26800</v>
      </c>
      <c r="R10" s="2294">
        <f>IF(H10="","",IF(C10="Efficiency",Q10/($O$6*VLOOKUP(0,'DCA Underwriting Assumptions'!$J$143:$K$148,2,FALSE)),Q10/($O$6*VLOOKUP(C10,'DCA Underwriting Assumptions'!$J$143:$K$148,2,FALSE))))</f>
        <v>0.60035842293906805</v>
      </c>
      <c r="S10" s="2295"/>
      <c r="T10" s="2296"/>
      <c r="U10" s="3034"/>
      <c r="V10" s="3035"/>
      <c r="W10" s="152" t="str">
        <f t="shared" ref="W10:W47" si="4">IF(AND(C10="Efficiency",B10="60% AMI",NOT(M10="Common Space")),E10,"")</f>
        <v/>
      </c>
      <c r="X10" s="152" t="str">
        <f t="shared" ref="X10:X47" si="5">IF(AND(C10=1,B10="60% AMI",NOT(M10="Common Space")),E10,"")</f>
        <v/>
      </c>
      <c r="Y10" s="152">
        <f t="shared" ref="Y10:Y47" si="6">IF(AND(C10=2,B10="60% AMI",NOT(M10="Common Space")),E10,"")</f>
        <v>14</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t="str">
        <f t="shared" ref="AC10:AC47" si="10">IF(AND(C10=1,B10="50% AMI",NOT(M10="Common Space")),E10,"")</f>
        <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f t="shared" ref="CB10:CB47" si="61">IF(OR(AND(C10=2,B10="60% AMI",NOT(M10="Common Space")),AND(C10=2,B10="HOME 60% AMI",NOT(M10="Common Space"))),E10*F10,"")</f>
        <v>17500</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t="str">
        <f t="shared" ref="CF10:CF47" si="65">IF(OR(AND(C10=1,B10="50% AMI",NOT(M10="Common Space")),AND(C10=1,B10="HOME 50% AMI",NOT(M10="Common Space"))),E10*F10,"")</f>
        <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t="str">
        <f t="shared" ref="DE10:DE47" si="90">IF(AND($C10=1, $O10="New Construction",NOT($B10="Unrestricted"),NOT($B10="NSP 120% AMI"),NOT($B10="N/A-CS"),NOT($M10="Common Space")),$E10,"")</f>
        <v/>
      </c>
      <c r="DF10" s="152">
        <f t="shared" ref="DF10:DF47" si="91">IF(AND($C10=2, $O10="New Construction",NOT($B10="Unrestricted"),NOT($B10="NSP 120% AMI"),NOT($B10="N/A-CS"),NOT($M10="Common Space")),$E10,"")</f>
        <v>14</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t="str">
        <f t="shared" ref="DT10:DT47" si="105">IF(AND($C10=1, $O10="Acquisition/Rehab",NOT($B10="Unrestricted"),NOT($B10="NSP 120% AMI"),NOT($B10="N/A-CS"),NOT($M10="Common Space")),$E10,"")</f>
        <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8" t="str">
        <f t="shared" ref="EW10:EW47" si="134">IF(AND($C10="Efficiency", NOT(OR($N10="SF Detached",$N10="Mfd Home",$N10="Duplex",$N10="Townhome"))),$E10,"")</f>
        <v/>
      </c>
      <c r="EX10" s="474" t="str">
        <f t="shared" ref="EX10:EX47" si="135">IF(AND($C10=1, NOT(OR($N10="SF Detached",$N10="Mfd Home",$N10="Duplex",$N10="Townhome"))),$E10,"")</f>
        <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f t="shared" ref="FX10:FX47" si="161">IF(AND($C10=2, $N10="Duplex",NOT($P10="Yes")),$E10,"")</f>
        <v>14</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t="str">
        <f t="shared" ref="GG10:GG47" si="170">IF(AND($C10=1, $N10="Townhome",NOT($P10="Yes")),$E10,"")</f>
        <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t="str">
        <f t="shared" ref="GQ10:GQ47" si="180">IF(AND($C10=1, $N10="1-Story",NOT($P10="Yes")),$E10,"")</f>
        <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t="str">
        <f t="shared" ref="HK10:HK47" si="200">IF(AND($C10=1, $N10="2-Story Walkup",NOT($P10="Yes")),$E10,"")</f>
        <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t="str">
        <f t="shared" ref="HU10:HU47" si="210">IF(AND($C10=1, $N10="3+ Story",NOT($P10="Yes")),$E10,"")</f>
        <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0</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0</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14</v>
      </c>
      <c r="JP10" s="473">
        <f>IF(AND($C10=3,$E10&gt;0,OR($N10="SF Detached",$N10="Duplex",$N10="Mfd Home"),NOT($P10="Yes")),$E10,0)</f>
        <v>0</v>
      </c>
      <c r="JQ10" s="473">
        <f>IF(AND($C10=4,$E10&gt;0,OR($N10="SF Detached",$N10="Duplex",$N10="Mfd Home"),NOT($P10="Yes")),$E10,0)</f>
        <v>0</v>
      </c>
    </row>
    <row r="11" spans="1:296" ht="12" customHeight="1">
      <c r="A11" s="112" t="str">
        <f t="shared" si="0"/>
        <v/>
      </c>
      <c r="B11" s="2297" t="s">
        <v>119</v>
      </c>
      <c r="C11" s="2298">
        <v>2</v>
      </c>
      <c r="D11" s="2299">
        <v>2.5</v>
      </c>
      <c r="E11" s="2300">
        <v>10</v>
      </c>
      <c r="F11" s="2300">
        <v>1250</v>
      </c>
      <c r="G11" s="2300">
        <v>558</v>
      </c>
      <c r="H11" s="2300">
        <v>777</v>
      </c>
      <c r="I11" s="2301">
        <f>IF(C11="",0,HLOOKUP(C11,'Part V-Utility Allowances'!$I$11:$M$21,11))</f>
        <v>147</v>
      </c>
      <c r="J11" s="2302" t="s">
        <v>4585</v>
      </c>
      <c r="K11" s="630">
        <f t="shared" si="1"/>
        <v>630</v>
      </c>
      <c r="L11" s="630">
        <f t="shared" si="2"/>
        <v>6300</v>
      </c>
      <c r="M11" s="2303" t="s">
        <v>3013</v>
      </c>
      <c r="N11" s="2303" t="s">
        <v>570</v>
      </c>
      <c r="O11" s="2303" t="s">
        <v>2311</v>
      </c>
      <c r="P11" s="2304" t="s">
        <v>3013</v>
      </c>
      <c r="Q11" s="2305">
        <f t="shared" si="3"/>
        <v>31080</v>
      </c>
      <c r="R11" s="2306">
        <f>IF(H11="","",IF(C11="Efficiency",Q11/($O$6*VLOOKUP(0,'DCA Underwriting Assumptions'!$J$143:$K$148,2,FALSE)),Q11/($O$6*VLOOKUP(C11,'DCA Underwriting Assumptions'!$J$143:$K$148,2,FALSE))))</f>
        <v>0.69623655913978499</v>
      </c>
      <c r="S11" s="2307"/>
      <c r="T11" s="2308"/>
      <c r="U11" s="3027"/>
      <c r="V11" s="3028"/>
      <c r="W11" s="152" t="str">
        <f t="shared" si="4"/>
        <v/>
      </c>
      <c r="X11" s="152" t="str">
        <f t="shared" si="5"/>
        <v/>
      </c>
      <c r="Y11" s="152" t="str">
        <f t="shared" si="6"/>
        <v/>
      </c>
      <c r="Z11" s="152" t="str">
        <f t="shared" si="7"/>
        <v/>
      </c>
      <c r="AA11" s="152" t="str">
        <f t="shared" si="8"/>
        <v/>
      </c>
      <c r="AB11" s="152" t="str">
        <f t="shared" si="9"/>
        <v/>
      </c>
      <c r="AC11" s="152" t="str">
        <f t="shared" si="10"/>
        <v/>
      </c>
      <c r="AD11" s="152">
        <f t="shared" si="11"/>
        <v>10</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f t="shared" si="31"/>
        <v>10</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t="str">
        <f t="shared" si="60"/>
        <v/>
      </c>
      <c r="CB11" s="152" t="str">
        <f t="shared" si="61"/>
        <v/>
      </c>
      <c r="CC11" s="152" t="str">
        <f t="shared" si="62"/>
        <v/>
      </c>
      <c r="CD11" s="152" t="str">
        <f t="shared" si="63"/>
        <v/>
      </c>
      <c r="CE11" s="152" t="str">
        <f t="shared" si="64"/>
        <v/>
      </c>
      <c r="CF11" s="152" t="str">
        <f t="shared" si="65"/>
        <v/>
      </c>
      <c r="CG11" s="152">
        <f t="shared" si="66"/>
        <v>12500</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f t="shared" si="81"/>
        <v>12500</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t="str">
        <f t="shared" si="90"/>
        <v/>
      </c>
      <c r="DF11" s="152">
        <f t="shared" si="91"/>
        <v>10</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8" t="str">
        <f t="shared" si="134"/>
        <v/>
      </c>
      <c r="EX11" s="474" t="str">
        <f t="shared" si="135"/>
        <v/>
      </c>
      <c r="EY11" s="474" t="str">
        <f t="shared" si="136"/>
        <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f t="shared" si="161"/>
        <v>10</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t="str">
        <f t="shared" si="170"/>
        <v/>
      </c>
      <c r="GH11" s="474" t="str">
        <f t="shared" si="171"/>
        <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t="str">
        <f t="shared" si="180"/>
        <v/>
      </c>
      <c r="GR11" s="474" t="str">
        <f t="shared" si="181"/>
        <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t="str">
        <f t="shared" si="191"/>
        <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t="str">
        <f t="shared" si="201"/>
        <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t="str">
        <f t="shared" si="210"/>
        <v/>
      </c>
      <c r="HV11" s="474" t="str">
        <f t="shared" si="211"/>
        <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0</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0</v>
      </c>
      <c r="JJ11" s="473">
        <f t="shared" ref="JJ11:JJ47" si="251">IF(AND($C11=2,$E11&gt;0,OR($N11="1-Story",$N11="2-Story",$N11="3+ Story",$N11="2-Story Walkup",$N11="Townhome"),$O11="New Construction"),$E11,0)</f>
        <v>0</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10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t="str">
        <f t="shared" si="0"/>
        <v/>
      </c>
      <c r="B12" s="2297" t="s">
        <v>1159</v>
      </c>
      <c r="C12" s="2298">
        <v>2</v>
      </c>
      <c r="D12" s="2299">
        <v>2</v>
      </c>
      <c r="E12" s="2300">
        <v>4</v>
      </c>
      <c r="F12" s="2300">
        <v>1143</v>
      </c>
      <c r="G12" s="2300">
        <v>670</v>
      </c>
      <c r="H12" s="2300">
        <v>670</v>
      </c>
      <c r="I12" s="2301">
        <f>IF(C12="",0,HLOOKUP(C12,'Part V-Utility Allowances'!$I$11:$M$21,11))</f>
        <v>147</v>
      </c>
      <c r="J12" s="2302"/>
      <c r="K12" s="630">
        <f t="shared" si="1"/>
        <v>523</v>
      </c>
      <c r="L12" s="630">
        <f t="shared" si="2"/>
        <v>2092</v>
      </c>
      <c r="M12" s="2303" t="s">
        <v>3013</v>
      </c>
      <c r="N12" s="2303" t="s">
        <v>4584</v>
      </c>
      <c r="O12" s="2303" t="s">
        <v>2311</v>
      </c>
      <c r="P12" s="2304" t="s">
        <v>3013</v>
      </c>
      <c r="Q12" s="2305">
        <f t="shared" si="3"/>
        <v>26800</v>
      </c>
      <c r="R12" s="2306">
        <f>IF(H12="","",IF(C12="Efficiency",Q12/($O$6*VLOOKUP(0,'DCA Underwriting Assumptions'!$J$143:$K$148,2,FALSE)),Q12/($O$6*VLOOKUP(C12,'DCA Underwriting Assumptions'!$J$143:$K$148,2,FALSE))))</f>
        <v>0.60035842293906805</v>
      </c>
      <c r="S12" s="2307"/>
      <c r="T12" s="2308"/>
      <c r="U12" s="3027"/>
      <c r="V12" s="3028"/>
      <c r="W12" s="152" t="str">
        <f t="shared" si="4"/>
        <v/>
      </c>
      <c r="X12" s="152" t="str">
        <f t="shared" si="5"/>
        <v/>
      </c>
      <c r="Y12" s="152">
        <f t="shared" si="6"/>
        <v>4</v>
      </c>
      <c r="Z12" s="152" t="str">
        <f t="shared" si="7"/>
        <v/>
      </c>
      <c r="AA12" s="152" t="str">
        <f t="shared" si="8"/>
        <v/>
      </c>
      <c r="AB12" s="152" t="str">
        <f t="shared" si="9"/>
        <v/>
      </c>
      <c r="AC12" s="152" t="str">
        <f t="shared" si="10"/>
        <v/>
      </c>
      <c r="AD12" s="152" t="str">
        <f t="shared" si="11"/>
        <v/>
      </c>
      <c r="AE12" s="152" t="str">
        <f t="shared" si="12"/>
        <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t="str">
        <f t="shared" si="60"/>
        <v/>
      </c>
      <c r="CB12" s="152">
        <f t="shared" si="61"/>
        <v>4572</v>
      </c>
      <c r="CC12" s="152" t="str">
        <f t="shared" si="62"/>
        <v/>
      </c>
      <c r="CD12" s="152" t="str">
        <f t="shared" si="63"/>
        <v/>
      </c>
      <c r="CE12" s="152" t="str">
        <f t="shared" si="64"/>
        <v/>
      </c>
      <c r="CF12" s="152" t="str">
        <f t="shared" si="65"/>
        <v/>
      </c>
      <c r="CG12" s="152" t="str">
        <f t="shared" si="66"/>
        <v/>
      </c>
      <c r="CH12" s="152" t="str">
        <f t="shared" si="67"/>
        <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t="str">
        <f t="shared" si="90"/>
        <v/>
      </c>
      <c r="DF12" s="152">
        <f t="shared" si="91"/>
        <v>4</v>
      </c>
      <c r="DG12" s="152" t="str">
        <f t="shared" si="92"/>
        <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8" t="str">
        <f t="shared" si="134"/>
        <v/>
      </c>
      <c r="EX12" s="474" t="str">
        <f t="shared" si="135"/>
        <v/>
      </c>
      <c r="EY12" s="474">
        <f t="shared" si="136"/>
        <v>4</v>
      </c>
      <c r="EZ12" s="474" t="str">
        <f t="shared" si="137"/>
        <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t="str">
        <f t="shared" si="171"/>
        <v/>
      </c>
      <c r="GI12" s="474" t="str">
        <f t="shared" si="172"/>
        <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t="str">
        <f t="shared" si="180"/>
        <v/>
      </c>
      <c r="GR12" s="474" t="str">
        <f t="shared" si="181"/>
        <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t="str">
        <f t="shared" si="190"/>
        <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f t="shared" si="201"/>
        <v>4</v>
      </c>
      <c r="HM12" s="474" t="str">
        <f t="shared" si="202"/>
        <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t="str">
        <f t="shared" si="210"/>
        <v/>
      </c>
      <c r="HV12" s="474" t="str">
        <f t="shared" si="211"/>
        <v/>
      </c>
      <c r="HW12" s="474" t="str">
        <f t="shared" si="212"/>
        <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0</v>
      </c>
      <c r="JF12" s="473">
        <f t="shared" si="247"/>
        <v>0</v>
      </c>
      <c r="JG12" s="473">
        <f t="shared" si="248"/>
        <v>0</v>
      </c>
      <c r="JH12" s="473">
        <f t="shared" si="249"/>
        <v>0</v>
      </c>
      <c r="JI12" s="473">
        <f t="shared" si="250"/>
        <v>0</v>
      </c>
      <c r="JJ12" s="473">
        <f t="shared" si="251"/>
        <v>4</v>
      </c>
      <c r="JK12" s="473">
        <f t="shared" si="252"/>
        <v>0</v>
      </c>
      <c r="JL12" s="473">
        <f t="shared" si="253"/>
        <v>0</v>
      </c>
      <c r="JM12" s="473">
        <f t="shared" si="254"/>
        <v>0</v>
      </c>
      <c r="JN12" s="473">
        <f t="shared" si="255"/>
        <v>0</v>
      </c>
      <c r="JO12" s="473">
        <f t="shared" si="256"/>
        <v>0</v>
      </c>
      <c r="JP12" s="473">
        <f t="shared" si="257"/>
        <v>0</v>
      </c>
      <c r="JQ12" s="473">
        <f t="shared" si="258"/>
        <v>0</v>
      </c>
    </row>
    <row r="13" spans="1:296" ht="12" customHeight="1">
      <c r="A13" s="112" t="str">
        <f t="shared" si="0"/>
        <v/>
      </c>
      <c r="B13" s="2297" t="s">
        <v>119</v>
      </c>
      <c r="C13" s="2298">
        <v>2</v>
      </c>
      <c r="D13" s="2299">
        <v>2</v>
      </c>
      <c r="E13" s="2300">
        <v>2</v>
      </c>
      <c r="F13" s="2300">
        <v>1143</v>
      </c>
      <c r="G13" s="2300">
        <v>558</v>
      </c>
      <c r="H13" s="2300">
        <v>777</v>
      </c>
      <c r="I13" s="2301">
        <f>IF(C13="",0,HLOOKUP(C13,'Part V-Utility Allowances'!$I$11:$M$21,11))</f>
        <v>147</v>
      </c>
      <c r="J13" s="2302" t="s">
        <v>4585</v>
      </c>
      <c r="K13" s="630">
        <f t="shared" si="1"/>
        <v>630</v>
      </c>
      <c r="L13" s="630">
        <f t="shared" si="2"/>
        <v>1260</v>
      </c>
      <c r="M13" s="2303" t="s">
        <v>3013</v>
      </c>
      <c r="N13" s="2303" t="s">
        <v>4584</v>
      </c>
      <c r="O13" s="2303" t="s">
        <v>2311</v>
      </c>
      <c r="P13" s="2304" t="s">
        <v>3013</v>
      </c>
      <c r="Q13" s="2305">
        <f t="shared" si="3"/>
        <v>31080</v>
      </c>
      <c r="R13" s="2306">
        <f>IF(H13="","",IF(C13="Efficiency",Q13/($O$6*VLOOKUP(0,'DCA Underwriting Assumptions'!$J$143:$K$148,2,FALSE)),Q13/($O$6*VLOOKUP(C13,'DCA Underwriting Assumptions'!$J$143:$K$148,2,FALSE))))</f>
        <v>0.69623655913978499</v>
      </c>
      <c r="S13" s="2307"/>
      <c r="T13" s="2308"/>
      <c r="U13" s="3027"/>
      <c r="V13" s="3028"/>
      <c r="W13" s="152" t="str">
        <f t="shared" si="4"/>
        <v/>
      </c>
      <c r="X13" s="152" t="str">
        <f t="shared" si="5"/>
        <v/>
      </c>
      <c r="Y13" s="152" t="str">
        <f t="shared" si="6"/>
        <v/>
      </c>
      <c r="Z13" s="152" t="str">
        <f t="shared" si="7"/>
        <v/>
      </c>
      <c r="AA13" s="152" t="str">
        <f t="shared" si="8"/>
        <v/>
      </c>
      <c r="AB13" s="152" t="str">
        <f t="shared" si="9"/>
        <v/>
      </c>
      <c r="AC13" s="152" t="str">
        <f t="shared" si="10"/>
        <v/>
      </c>
      <c r="AD13" s="152">
        <f t="shared" si="11"/>
        <v>2</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f t="shared" si="31"/>
        <v>2</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t="str">
        <f t="shared" si="60"/>
        <v/>
      </c>
      <c r="CB13" s="152" t="str">
        <f t="shared" si="61"/>
        <v/>
      </c>
      <c r="CC13" s="152" t="str">
        <f t="shared" si="62"/>
        <v/>
      </c>
      <c r="CD13" s="152" t="str">
        <f t="shared" si="63"/>
        <v/>
      </c>
      <c r="CE13" s="152" t="str">
        <f t="shared" si="64"/>
        <v/>
      </c>
      <c r="CF13" s="152" t="str">
        <f t="shared" si="65"/>
        <v/>
      </c>
      <c r="CG13" s="152">
        <f t="shared" si="66"/>
        <v>2286</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f t="shared" si="81"/>
        <v>2286</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t="str">
        <f t="shared" si="90"/>
        <v/>
      </c>
      <c r="DF13" s="152">
        <f t="shared" si="91"/>
        <v>2</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8" t="str">
        <f t="shared" si="134"/>
        <v/>
      </c>
      <c r="EX13" s="474" t="str">
        <f t="shared" si="135"/>
        <v/>
      </c>
      <c r="EY13" s="474">
        <f t="shared" si="136"/>
        <v>2</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t="str">
        <f t="shared" si="171"/>
        <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t="str">
        <f t="shared" si="181"/>
        <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t="str">
        <f t="shared" si="200"/>
        <v/>
      </c>
      <c r="HL13" s="474">
        <f t="shared" si="201"/>
        <v>2</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t="str">
        <f t="shared" si="210"/>
        <v/>
      </c>
      <c r="HV13" s="474" t="str">
        <f t="shared" si="211"/>
        <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0</v>
      </c>
      <c r="JE13" s="473">
        <f t="shared" si="246"/>
        <v>0</v>
      </c>
      <c r="JF13" s="473">
        <f t="shared" si="247"/>
        <v>0</v>
      </c>
      <c r="JG13" s="473">
        <f t="shared" si="248"/>
        <v>0</v>
      </c>
      <c r="JH13" s="473">
        <f t="shared" si="249"/>
        <v>0</v>
      </c>
      <c r="JI13" s="473">
        <f t="shared" si="250"/>
        <v>0</v>
      </c>
      <c r="JJ13" s="473">
        <f t="shared" si="251"/>
        <v>2</v>
      </c>
      <c r="JK13" s="473">
        <f t="shared" si="252"/>
        <v>0</v>
      </c>
      <c r="JL13" s="473">
        <f t="shared" si="253"/>
        <v>0</v>
      </c>
      <c r="JM13" s="473">
        <f t="shared" si="254"/>
        <v>0</v>
      </c>
      <c r="JN13" s="473">
        <f t="shared" si="255"/>
        <v>0</v>
      </c>
      <c r="JO13" s="473">
        <f t="shared" si="256"/>
        <v>0</v>
      </c>
      <c r="JP13" s="473">
        <f t="shared" si="257"/>
        <v>0</v>
      </c>
      <c r="JQ13" s="473">
        <f t="shared" si="258"/>
        <v>0</v>
      </c>
    </row>
    <row r="14" spans="1:296" ht="12" customHeight="1">
      <c r="A14" s="112" t="str">
        <f t="shared" si="0"/>
        <v/>
      </c>
      <c r="B14" s="2297" t="s">
        <v>1159</v>
      </c>
      <c r="C14" s="2298">
        <v>2</v>
      </c>
      <c r="D14" s="2299">
        <v>2.5</v>
      </c>
      <c r="E14" s="2300">
        <v>10</v>
      </c>
      <c r="F14" s="2300">
        <v>1250</v>
      </c>
      <c r="G14" s="2300">
        <v>670</v>
      </c>
      <c r="H14" s="2300">
        <v>670</v>
      </c>
      <c r="I14" s="2301">
        <f>IF(C14="",0,HLOOKUP(C14,'Part V-Utility Allowances'!$I$11:$M$21,11))</f>
        <v>147</v>
      </c>
      <c r="J14" s="2302"/>
      <c r="K14" s="630">
        <f t="shared" si="1"/>
        <v>523</v>
      </c>
      <c r="L14" s="630">
        <f t="shared" si="2"/>
        <v>5230</v>
      </c>
      <c r="M14" s="2303" t="s">
        <v>3013</v>
      </c>
      <c r="N14" s="2303" t="s">
        <v>42</v>
      </c>
      <c r="O14" s="2303" t="s">
        <v>2311</v>
      </c>
      <c r="P14" s="2304" t="s">
        <v>3013</v>
      </c>
      <c r="Q14" s="2305">
        <f t="shared" si="3"/>
        <v>26800</v>
      </c>
      <c r="R14" s="2306">
        <f>IF(H14="","",IF(C14="Efficiency",Q14/($O$6*VLOOKUP(0,'DCA Underwriting Assumptions'!$J$143:$K$148,2,FALSE)),Q14/($O$6*VLOOKUP(C14,'DCA Underwriting Assumptions'!$J$143:$K$148,2,FALSE))))</f>
        <v>0.60035842293906805</v>
      </c>
      <c r="S14" s="2307"/>
      <c r="T14" s="2308"/>
      <c r="U14" s="3027"/>
      <c r="V14" s="3028"/>
      <c r="W14" s="152" t="str">
        <f t="shared" si="4"/>
        <v/>
      </c>
      <c r="X14" s="152" t="str">
        <f t="shared" si="5"/>
        <v/>
      </c>
      <c r="Y14" s="152">
        <f t="shared" si="6"/>
        <v>10</v>
      </c>
      <c r="Z14" s="152" t="str">
        <f t="shared" si="7"/>
        <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f t="shared" si="61"/>
        <v>12500</v>
      </c>
      <c r="CC14" s="152" t="str">
        <f t="shared" si="62"/>
        <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f t="shared" si="91"/>
        <v>10</v>
      </c>
      <c r="DG14" s="152" t="str">
        <f t="shared" si="92"/>
        <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8" t="str">
        <f t="shared" si="134"/>
        <v/>
      </c>
      <c r="EX14" s="474" t="str">
        <f t="shared" si="135"/>
        <v/>
      </c>
      <c r="EY14" s="474" t="str">
        <f t="shared" si="136"/>
        <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f t="shared" si="171"/>
        <v>10</v>
      </c>
      <c r="GI14" s="474" t="str">
        <f t="shared" si="172"/>
        <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t="str">
        <f t="shared" si="200"/>
        <v/>
      </c>
      <c r="HL14" s="474" t="str">
        <f t="shared" si="201"/>
        <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t="str">
        <f t="shared" si="210"/>
        <v/>
      </c>
      <c r="HV14" s="474" t="str">
        <f t="shared" si="211"/>
        <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0</v>
      </c>
      <c r="JF14" s="473">
        <f t="shared" si="247"/>
        <v>0</v>
      </c>
      <c r="JG14" s="473">
        <f t="shared" si="248"/>
        <v>0</v>
      </c>
      <c r="JH14" s="473">
        <f t="shared" si="249"/>
        <v>0</v>
      </c>
      <c r="JI14" s="473">
        <f t="shared" si="250"/>
        <v>0</v>
      </c>
      <c r="JJ14" s="473">
        <f t="shared" si="251"/>
        <v>10</v>
      </c>
      <c r="JK14" s="473">
        <f t="shared" si="252"/>
        <v>0</v>
      </c>
      <c r="JL14" s="473">
        <f t="shared" si="253"/>
        <v>0</v>
      </c>
      <c r="JM14" s="473">
        <f t="shared" si="254"/>
        <v>0</v>
      </c>
      <c r="JN14" s="473">
        <f t="shared" si="255"/>
        <v>0</v>
      </c>
      <c r="JO14" s="473">
        <f t="shared" si="256"/>
        <v>0</v>
      </c>
      <c r="JP14" s="473">
        <f t="shared" si="257"/>
        <v>0</v>
      </c>
      <c r="JQ14" s="473">
        <f t="shared" si="258"/>
        <v>0</v>
      </c>
    </row>
    <row r="15" spans="1:296" ht="12" customHeight="1">
      <c r="A15" s="112" t="str">
        <f t="shared" si="0"/>
        <v/>
      </c>
      <c r="B15" s="2297" t="s">
        <v>119</v>
      </c>
      <c r="C15" s="2298">
        <v>2</v>
      </c>
      <c r="D15" s="2299">
        <v>2.5</v>
      </c>
      <c r="E15" s="2300">
        <v>5</v>
      </c>
      <c r="F15" s="2300">
        <v>1250</v>
      </c>
      <c r="G15" s="2300">
        <v>558</v>
      </c>
      <c r="H15" s="2300">
        <v>777</v>
      </c>
      <c r="I15" s="2301">
        <f>IF(C15="",0,HLOOKUP(C15,'Part V-Utility Allowances'!$I$11:$M$21,11))</f>
        <v>147</v>
      </c>
      <c r="J15" s="2302" t="s">
        <v>4585</v>
      </c>
      <c r="K15" s="630">
        <f t="shared" si="1"/>
        <v>630</v>
      </c>
      <c r="L15" s="630">
        <f t="shared" si="2"/>
        <v>3150</v>
      </c>
      <c r="M15" s="2303" t="s">
        <v>3013</v>
      </c>
      <c r="N15" s="2303" t="s">
        <v>42</v>
      </c>
      <c r="O15" s="2303" t="s">
        <v>2311</v>
      </c>
      <c r="P15" s="2304" t="s">
        <v>3013</v>
      </c>
      <c r="Q15" s="2305">
        <f t="shared" si="3"/>
        <v>31080</v>
      </c>
      <c r="R15" s="2306">
        <f>IF(H15="","",IF(C15="Efficiency",Q15/($O$6*VLOOKUP(0,'DCA Underwriting Assumptions'!$J$143:$K$148,2,FALSE)),Q15/($O$6*VLOOKUP(C15,'DCA Underwriting Assumptions'!$J$143:$K$148,2,FALSE))))</f>
        <v>0.69623655913978499</v>
      </c>
      <c r="S15" s="2307"/>
      <c r="T15" s="2308"/>
      <c r="U15" s="3027"/>
      <c r="V15" s="3028"/>
      <c r="W15" s="152" t="str">
        <f t="shared" si="4"/>
        <v/>
      </c>
      <c r="X15" s="152" t="str">
        <f t="shared" si="5"/>
        <v/>
      </c>
      <c r="Y15" s="152" t="str">
        <f t="shared" si="6"/>
        <v/>
      </c>
      <c r="Z15" s="152" t="str">
        <f t="shared" si="7"/>
        <v/>
      </c>
      <c r="AA15" s="152" t="str">
        <f t="shared" si="8"/>
        <v/>
      </c>
      <c r="AB15" s="152" t="str">
        <f t="shared" si="9"/>
        <v/>
      </c>
      <c r="AC15" s="152" t="str">
        <f t="shared" si="10"/>
        <v/>
      </c>
      <c r="AD15" s="152">
        <f t="shared" si="11"/>
        <v>5</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f t="shared" si="31"/>
        <v>5</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t="str">
        <f t="shared" si="61"/>
        <v/>
      </c>
      <c r="CC15" s="152" t="str">
        <f t="shared" si="62"/>
        <v/>
      </c>
      <c r="CD15" s="152" t="str">
        <f t="shared" si="63"/>
        <v/>
      </c>
      <c r="CE15" s="152" t="str">
        <f t="shared" si="64"/>
        <v/>
      </c>
      <c r="CF15" s="152" t="str">
        <f t="shared" si="65"/>
        <v/>
      </c>
      <c r="CG15" s="152">
        <f t="shared" si="66"/>
        <v>6250</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f t="shared" si="81"/>
        <v>6250</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f t="shared" si="91"/>
        <v>5</v>
      </c>
      <c r="DG15" s="152" t="str">
        <f t="shared" si="92"/>
        <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8" t="str">
        <f t="shared" si="134"/>
        <v/>
      </c>
      <c r="EX15" s="474" t="str">
        <f t="shared" si="135"/>
        <v/>
      </c>
      <c r="EY15" s="474" t="str">
        <f t="shared" si="136"/>
        <v/>
      </c>
      <c r="EZ15" s="474" t="str">
        <f t="shared" si="137"/>
        <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f t="shared" si="171"/>
        <v>5</v>
      </c>
      <c r="GI15" s="474" t="str">
        <f t="shared" si="172"/>
        <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t="str">
        <f t="shared" si="201"/>
        <v/>
      </c>
      <c r="HM15" s="474" t="str">
        <f t="shared" si="202"/>
        <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t="str">
        <f t="shared" si="211"/>
        <v/>
      </c>
      <c r="HW15" s="474" t="str">
        <f t="shared" si="212"/>
        <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0</v>
      </c>
      <c r="JF15" s="473">
        <f t="shared" si="247"/>
        <v>0</v>
      </c>
      <c r="JG15" s="473">
        <f t="shared" si="248"/>
        <v>0</v>
      </c>
      <c r="JH15" s="473">
        <f t="shared" si="249"/>
        <v>0</v>
      </c>
      <c r="JI15" s="473">
        <f t="shared" si="250"/>
        <v>0</v>
      </c>
      <c r="JJ15" s="473">
        <f t="shared" si="251"/>
        <v>5</v>
      </c>
      <c r="JK15" s="473">
        <f t="shared" si="252"/>
        <v>0</v>
      </c>
      <c r="JL15" s="473">
        <f t="shared" si="253"/>
        <v>0</v>
      </c>
      <c r="JM15" s="473">
        <f t="shared" si="254"/>
        <v>0</v>
      </c>
      <c r="JN15" s="473">
        <f t="shared" si="255"/>
        <v>0</v>
      </c>
      <c r="JO15" s="473">
        <f t="shared" si="256"/>
        <v>0</v>
      </c>
      <c r="JP15" s="473">
        <f t="shared" si="257"/>
        <v>0</v>
      </c>
      <c r="JQ15" s="473">
        <f t="shared" si="258"/>
        <v>0</v>
      </c>
    </row>
    <row r="16" spans="1:296" ht="12" customHeight="1">
      <c r="A16" s="112" t="str">
        <f t="shared" si="0"/>
        <v/>
      </c>
      <c r="B16" s="2297" t="s">
        <v>1159</v>
      </c>
      <c r="C16" s="2298">
        <v>3</v>
      </c>
      <c r="D16" s="2299">
        <v>2</v>
      </c>
      <c r="E16" s="2300">
        <v>1</v>
      </c>
      <c r="F16" s="2300">
        <v>1464</v>
      </c>
      <c r="G16" s="2300">
        <v>774</v>
      </c>
      <c r="H16" s="2300">
        <v>774</v>
      </c>
      <c r="I16" s="2301">
        <f>IF(C16="",0,HLOOKUP(C16,'Part V-Utility Allowances'!$I$11:$M$21,11))</f>
        <v>192</v>
      </c>
      <c r="J16" s="2302"/>
      <c r="K16" s="630">
        <f t="shared" si="1"/>
        <v>582</v>
      </c>
      <c r="L16" s="630">
        <f t="shared" si="2"/>
        <v>582</v>
      </c>
      <c r="M16" s="2303" t="s">
        <v>3013</v>
      </c>
      <c r="N16" s="2303" t="s">
        <v>4584</v>
      </c>
      <c r="O16" s="2303" t="s">
        <v>2311</v>
      </c>
      <c r="P16" s="2304" t="s">
        <v>3013</v>
      </c>
      <c r="Q16" s="2305">
        <f t="shared" si="3"/>
        <v>30960</v>
      </c>
      <c r="R16" s="2306">
        <f>IF(H16="","",IF(C16="Efficiency",Q16/($O$6*VLOOKUP(0,'DCA Underwriting Assumptions'!$J$143:$K$148,2,FALSE)),Q16/($O$6*VLOOKUP(C16,'DCA Underwriting Assumptions'!$J$143:$K$148,2,FALSE))))</f>
        <v>0.60018610421836227</v>
      </c>
      <c r="S16" s="2307"/>
      <c r="T16" s="2308"/>
      <c r="U16" s="3027"/>
      <c r="V16" s="3028"/>
      <c r="W16" s="152" t="str">
        <f t="shared" si="4"/>
        <v/>
      </c>
      <c r="X16" s="152" t="str">
        <f t="shared" si="5"/>
        <v/>
      </c>
      <c r="Y16" s="152" t="str">
        <f t="shared" si="6"/>
        <v/>
      </c>
      <c r="Z16" s="152">
        <f t="shared" si="7"/>
        <v>1</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f t="shared" si="62"/>
        <v>1464</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f t="shared" si="92"/>
        <v>1</v>
      </c>
      <c r="DH16" s="152" t="str">
        <f t="shared" si="93"/>
        <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8" t="str">
        <f t="shared" si="134"/>
        <v/>
      </c>
      <c r="EX16" s="474" t="str">
        <f t="shared" si="135"/>
        <v/>
      </c>
      <c r="EY16" s="474" t="str">
        <f t="shared" si="136"/>
        <v/>
      </c>
      <c r="EZ16" s="474">
        <f t="shared" si="137"/>
        <v>1</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t="str">
        <f t="shared" si="200"/>
        <v/>
      </c>
      <c r="HL16" s="474" t="str">
        <f t="shared" si="201"/>
        <v/>
      </c>
      <c r="HM16" s="474">
        <f t="shared" si="202"/>
        <v>1</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t="str">
        <f t="shared" si="210"/>
        <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0</v>
      </c>
      <c r="JE16" s="473">
        <f t="shared" si="246"/>
        <v>0</v>
      </c>
      <c r="JF16" s="473">
        <f t="shared" si="247"/>
        <v>0</v>
      </c>
      <c r="JG16" s="473">
        <f t="shared" si="248"/>
        <v>0</v>
      </c>
      <c r="JH16" s="473">
        <f t="shared" si="249"/>
        <v>0</v>
      </c>
      <c r="JI16" s="473">
        <f t="shared" si="250"/>
        <v>0</v>
      </c>
      <c r="JJ16" s="473">
        <f t="shared" si="251"/>
        <v>0</v>
      </c>
      <c r="JK16" s="473">
        <f t="shared" si="252"/>
        <v>1</v>
      </c>
      <c r="JL16" s="473">
        <f t="shared" si="253"/>
        <v>0</v>
      </c>
      <c r="JM16" s="473">
        <f t="shared" si="254"/>
        <v>0</v>
      </c>
      <c r="JN16" s="473">
        <f t="shared" si="255"/>
        <v>0</v>
      </c>
      <c r="JO16" s="473">
        <f t="shared" si="256"/>
        <v>0</v>
      </c>
      <c r="JP16" s="473">
        <f t="shared" si="257"/>
        <v>0</v>
      </c>
      <c r="JQ16" s="473">
        <f t="shared" si="258"/>
        <v>0</v>
      </c>
    </row>
    <row r="17" spans="1:277" ht="12" customHeight="1">
      <c r="A17" s="112" t="str">
        <f t="shared" si="0"/>
        <v/>
      </c>
      <c r="B17" s="2297" t="s">
        <v>119</v>
      </c>
      <c r="C17" s="2298">
        <v>3</v>
      </c>
      <c r="D17" s="2299">
        <v>2</v>
      </c>
      <c r="E17" s="2300">
        <v>1</v>
      </c>
      <c r="F17" s="2300">
        <v>1464</v>
      </c>
      <c r="G17" s="2300">
        <v>645</v>
      </c>
      <c r="H17" s="2300">
        <v>992</v>
      </c>
      <c r="I17" s="2301">
        <f>IF(C17="",0,HLOOKUP(C17,'Part V-Utility Allowances'!$I$11:$M$21,11))</f>
        <v>192</v>
      </c>
      <c r="J17" s="2302" t="s">
        <v>4585</v>
      </c>
      <c r="K17" s="630">
        <f t="shared" si="1"/>
        <v>800</v>
      </c>
      <c r="L17" s="630">
        <f t="shared" si="2"/>
        <v>800</v>
      </c>
      <c r="M17" s="2303" t="s">
        <v>3013</v>
      </c>
      <c r="N17" s="2303" t="s">
        <v>4584</v>
      </c>
      <c r="O17" s="2303" t="s">
        <v>2311</v>
      </c>
      <c r="P17" s="2304" t="s">
        <v>3013</v>
      </c>
      <c r="Q17" s="2305">
        <f t="shared" si="3"/>
        <v>39680</v>
      </c>
      <c r="R17" s="2306">
        <f>IF(H17="","",IF(C17="Efficiency",Q17/($O$6*VLOOKUP(0,'DCA Underwriting Assumptions'!$J$143:$K$148,2,FALSE)),Q17/($O$6*VLOOKUP(C17,'DCA Underwriting Assumptions'!$J$143:$K$148,2,FALSE))))</f>
        <v>0.76923076923076927</v>
      </c>
      <c r="S17" s="2307"/>
      <c r="T17" s="2308"/>
      <c r="U17" s="3027"/>
      <c r="V17" s="3028"/>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f t="shared" si="12"/>
        <v>1</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t="str">
        <f t="shared" si="21"/>
        <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f t="shared" si="32"/>
        <v>1</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f t="shared" si="67"/>
        <v>1464</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t="str">
        <f t="shared" si="76"/>
        <v/>
      </c>
      <c r="CR17" s="152" t="str">
        <f t="shared" si="77"/>
        <v/>
      </c>
      <c r="CS17" s="152" t="str">
        <f t="shared" si="78"/>
        <v/>
      </c>
      <c r="CT17" s="152" t="str">
        <f t="shared" si="79"/>
        <v/>
      </c>
      <c r="CU17" s="152" t="str">
        <f t="shared" si="80"/>
        <v/>
      </c>
      <c r="CV17" s="152" t="str">
        <f t="shared" si="81"/>
        <v/>
      </c>
      <c r="CW17" s="152">
        <f t="shared" si="82"/>
        <v>1464</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f t="shared" si="92"/>
        <v>1</v>
      </c>
      <c r="DH17" s="152" t="str">
        <f t="shared" si="93"/>
        <v/>
      </c>
      <c r="DI17" s="152" t="str">
        <f t="shared" si="94"/>
        <v/>
      </c>
      <c r="DJ17" s="152" t="str">
        <f t="shared" si="95"/>
        <v/>
      </c>
      <c r="DK17" s="152" t="str">
        <f t="shared" si="96"/>
        <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8" t="str">
        <f t="shared" si="134"/>
        <v/>
      </c>
      <c r="EX17" s="474" t="str">
        <f t="shared" si="135"/>
        <v/>
      </c>
      <c r="EY17" s="474" t="str">
        <f t="shared" si="136"/>
        <v/>
      </c>
      <c r="EZ17" s="474">
        <f t="shared" si="137"/>
        <v>1</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t="str">
        <f t="shared" si="201"/>
        <v/>
      </c>
      <c r="HM17" s="474">
        <f t="shared" si="202"/>
        <v>1</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t="str">
        <f t="shared" si="211"/>
        <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0</v>
      </c>
      <c r="JF17" s="473">
        <f t="shared" si="247"/>
        <v>0</v>
      </c>
      <c r="JG17" s="473">
        <f t="shared" si="248"/>
        <v>0</v>
      </c>
      <c r="JH17" s="473">
        <f t="shared" si="249"/>
        <v>0</v>
      </c>
      <c r="JI17" s="473">
        <f t="shared" si="250"/>
        <v>0</v>
      </c>
      <c r="JJ17" s="473">
        <f t="shared" si="251"/>
        <v>0</v>
      </c>
      <c r="JK17" s="473">
        <f t="shared" si="252"/>
        <v>1</v>
      </c>
      <c r="JL17" s="473">
        <f t="shared" si="253"/>
        <v>0</v>
      </c>
      <c r="JM17" s="473">
        <f t="shared" si="254"/>
        <v>0</v>
      </c>
      <c r="JN17" s="473">
        <f t="shared" si="255"/>
        <v>0</v>
      </c>
      <c r="JO17" s="473">
        <f t="shared" si="256"/>
        <v>0</v>
      </c>
      <c r="JP17" s="473">
        <f t="shared" si="257"/>
        <v>0</v>
      </c>
      <c r="JQ17" s="473">
        <f t="shared" si="258"/>
        <v>0</v>
      </c>
    </row>
    <row r="18" spans="1:277" ht="12" customHeight="1">
      <c r="A18" s="112" t="str">
        <f t="shared" si="0"/>
        <v/>
      </c>
      <c r="B18" s="2297" t="s">
        <v>1159</v>
      </c>
      <c r="C18" s="2298">
        <v>3</v>
      </c>
      <c r="D18" s="2299">
        <v>3</v>
      </c>
      <c r="E18" s="2300">
        <v>11</v>
      </c>
      <c r="F18" s="2300">
        <v>1604</v>
      </c>
      <c r="G18" s="2300">
        <v>774</v>
      </c>
      <c r="H18" s="2300">
        <v>774</v>
      </c>
      <c r="I18" s="2301">
        <f>IF(C18="",0,HLOOKUP(C18,'Part V-Utility Allowances'!$I$11:$M$21,11))</f>
        <v>192</v>
      </c>
      <c r="J18" s="2302"/>
      <c r="K18" s="630">
        <f t="shared" si="1"/>
        <v>582</v>
      </c>
      <c r="L18" s="630">
        <f t="shared" si="2"/>
        <v>6402</v>
      </c>
      <c r="M18" s="2303" t="s">
        <v>3013</v>
      </c>
      <c r="N18" s="2303" t="s">
        <v>570</v>
      </c>
      <c r="O18" s="2303" t="s">
        <v>2311</v>
      </c>
      <c r="P18" s="2304" t="s">
        <v>3013</v>
      </c>
      <c r="Q18" s="2305">
        <f t="shared" si="3"/>
        <v>30960</v>
      </c>
      <c r="R18" s="2306">
        <f>IF(H18="","",IF(C18="Efficiency",Q18/($O$6*VLOOKUP(0,'DCA Underwriting Assumptions'!$J$143:$K$148,2,FALSE)),Q18/($O$6*VLOOKUP(C18,'DCA Underwriting Assumptions'!$J$143:$K$148,2,FALSE))))</f>
        <v>0.60018610421836227</v>
      </c>
      <c r="S18" s="2307"/>
      <c r="T18" s="2308"/>
      <c r="U18" s="3027"/>
      <c r="V18" s="3028"/>
      <c r="W18" s="152" t="str">
        <f t="shared" si="4"/>
        <v/>
      </c>
      <c r="X18" s="152" t="str">
        <f t="shared" si="5"/>
        <v/>
      </c>
      <c r="Y18" s="152" t="str">
        <f t="shared" si="6"/>
        <v/>
      </c>
      <c r="Z18" s="152">
        <f t="shared" si="7"/>
        <v>11</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f t="shared" si="62"/>
        <v>17644</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f t="shared" si="92"/>
        <v>11</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8" t="str">
        <f t="shared" si="134"/>
        <v/>
      </c>
      <c r="EX18" s="474" t="str">
        <f t="shared" si="135"/>
        <v/>
      </c>
      <c r="EY18" s="474" t="str">
        <f t="shared" si="136"/>
        <v/>
      </c>
      <c r="EZ18" s="474" t="str">
        <f t="shared" si="137"/>
        <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f t="shared" si="162"/>
        <v>11</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t="str">
        <f t="shared" si="202"/>
        <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t="str">
        <f t="shared" si="212"/>
        <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0</v>
      </c>
      <c r="JG18" s="473">
        <f t="shared" si="248"/>
        <v>0</v>
      </c>
      <c r="JH18" s="473">
        <f t="shared" si="249"/>
        <v>0</v>
      </c>
      <c r="JI18" s="473">
        <f t="shared" si="250"/>
        <v>0</v>
      </c>
      <c r="JJ18" s="473">
        <f t="shared" si="251"/>
        <v>0</v>
      </c>
      <c r="JK18" s="473">
        <f t="shared" si="252"/>
        <v>0</v>
      </c>
      <c r="JL18" s="473">
        <f t="shared" si="253"/>
        <v>0</v>
      </c>
      <c r="JM18" s="473">
        <f t="shared" si="254"/>
        <v>0</v>
      </c>
      <c r="JN18" s="473">
        <f t="shared" si="255"/>
        <v>0</v>
      </c>
      <c r="JO18" s="473">
        <f t="shared" si="256"/>
        <v>0</v>
      </c>
      <c r="JP18" s="473">
        <f t="shared" si="257"/>
        <v>11</v>
      </c>
      <c r="JQ18" s="473">
        <f t="shared" si="258"/>
        <v>0</v>
      </c>
    </row>
    <row r="19" spans="1:277" ht="12" customHeight="1">
      <c r="A19" s="112" t="str">
        <f t="shared" si="0"/>
        <v/>
      </c>
      <c r="B19" s="2297" t="s">
        <v>119</v>
      </c>
      <c r="C19" s="2298">
        <v>3</v>
      </c>
      <c r="D19" s="2299">
        <v>3</v>
      </c>
      <c r="E19" s="2300">
        <v>7</v>
      </c>
      <c r="F19" s="2300">
        <v>1604</v>
      </c>
      <c r="G19" s="2300">
        <v>645</v>
      </c>
      <c r="H19" s="2300">
        <v>992</v>
      </c>
      <c r="I19" s="2301">
        <f>IF(C19="",0,HLOOKUP(C19,'Part V-Utility Allowances'!$I$11:$M$21,11))</f>
        <v>192</v>
      </c>
      <c r="J19" s="2302" t="s">
        <v>4585</v>
      </c>
      <c r="K19" s="630">
        <f t="shared" si="1"/>
        <v>800</v>
      </c>
      <c r="L19" s="630">
        <f t="shared" si="2"/>
        <v>5600</v>
      </c>
      <c r="M19" s="2303" t="s">
        <v>3013</v>
      </c>
      <c r="N19" s="2303" t="s">
        <v>570</v>
      </c>
      <c r="O19" s="2303" t="s">
        <v>2311</v>
      </c>
      <c r="P19" s="2304" t="s">
        <v>3013</v>
      </c>
      <c r="Q19" s="2305">
        <f t="shared" si="3"/>
        <v>39680</v>
      </c>
      <c r="R19" s="2306">
        <f>IF(H19="","",IF(C19="Efficiency",Q19/($O$6*VLOOKUP(0,'DCA Underwriting Assumptions'!$J$143:$K$148,2,FALSE)),Q19/($O$6*VLOOKUP(C19,'DCA Underwriting Assumptions'!$J$143:$K$148,2,FALSE))))</f>
        <v>0.76923076923076927</v>
      </c>
      <c r="S19" s="2307"/>
      <c r="T19" s="2308"/>
      <c r="U19" s="3027"/>
      <c r="V19" s="3028"/>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f t="shared" si="12"/>
        <v>7</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f t="shared" si="32"/>
        <v>7</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f t="shared" si="67"/>
        <v>11228</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f t="shared" si="82"/>
        <v>11228</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f t="shared" si="92"/>
        <v>7</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8" t="str">
        <f t="shared" si="134"/>
        <v/>
      </c>
      <c r="EX19" s="474" t="str">
        <f t="shared" si="135"/>
        <v/>
      </c>
      <c r="EY19" s="474" t="str">
        <f t="shared" si="136"/>
        <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f t="shared" si="162"/>
        <v>7</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t="str">
        <f t="shared" si="201"/>
        <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0</v>
      </c>
      <c r="JK19" s="473">
        <f t="shared" si="252"/>
        <v>0</v>
      </c>
      <c r="JL19" s="473">
        <f t="shared" si="253"/>
        <v>0</v>
      </c>
      <c r="JM19" s="473">
        <f t="shared" si="254"/>
        <v>0</v>
      </c>
      <c r="JN19" s="473">
        <f t="shared" si="255"/>
        <v>0</v>
      </c>
      <c r="JO19" s="473">
        <f t="shared" si="256"/>
        <v>0</v>
      </c>
      <c r="JP19" s="473">
        <f t="shared" si="257"/>
        <v>7</v>
      </c>
      <c r="JQ19" s="473">
        <f t="shared" si="258"/>
        <v>0</v>
      </c>
    </row>
    <row r="20" spans="1:277" ht="12" customHeight="1">
      <c r="A20" s="112" t="str">
        <f t="shared" si="0"/>
        <v/>
      </c>
      <c r="B20" s="2297" t="s">
        <v>1784</v>
      </c>
      <c r="C20" s="2298"/>
      <c r="D20" s="2299"/>
      <c r="E20" s="2300"/>
      <c r="F20" s="2300"/>
      <c r="G20" s="2300"/>
      <c r="H20" s="2300"/>
      <c r="I20" s="2301">
        <f>IF(C20="",0,HLOOKUP(C20,'Part V-Utility Allowances'!$I$11:$M$21,11))</f>
        <v>0</v>
      </c>
      <c r="J20" s="2302"/>
      <c r="K20" s="630">
        <f t="shared" si="1"/>
        <v>0</v>
      </c>
      <c r="L20" s="630">
        <f t="shared" si="2"/>
        <v>0</v>
      </c>
      <c r="M20" s="2303"/>
      <c r="N20" s="2303"/>
      <c r="O20" s="2303"/>
      <c r="P20" s="2304"/>
      <c r="Q20" s="2305" t="str">
        <f t="shared" si="3"/>
        <v/>
      </c>
      <c r="R20" s="2306" t="str">
        <f>IF(H20="","",IF(C20="Efficiency",Q20/($O$6*VLOOKUP(0,'DCA Underwriting Assumptions'!$J$143:$K$148,2,FALSE)),Q20/($O$6*VLOOKUP(C20,'DCA Underwriting Assumptions'!$J$143:$K$148,2,FALSE))))</f>
        <v/>
      </c>
      <c r="S20" s="2307"/>
      <c r="T20" s="2308"/>
      <c r="U20" s="3027"/>
      <c r="V20" s="3028"/>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8" t="str">
        <f t="shared" si="134"/>
        <v/>
      </c>
      <c r="EX20" s="474" t="str">
        <f t="shared" si="135"/>
        <v/>
      </c>
      <c r="EY20" s="474" t="str">
        <f t="shared" si="136"/>
        <v/>
      </c>
      <c r="EZ20" s="474" t="str">
        <f t="shared" si="137"/>
        <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t="str">
        <f t="shared" si="202"/>
        <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2297" t="s">
        <v>1784</v>
      </c>
      <c r="C21" s="2298"/>
      <c r="D21" s="2299"/>
      <c r="E21" s="2300"/>
      <c r="F21" s="2300"/>
      <c r="G21" s="2300"/>
      <c r="H21" s="2300"/>
      <c r="I21" s="2301">
        <f>IF(C21="",0,HLOOKUP(C21,'Part V-Utility Allowances'!$I$11:$M$21,11))</f>
        <v>0</v>
      </c>
      <c r="J21" s="2302"/>
      <c r="K21" s="630">
        <f t="shared" si="1"/>
        <v>0</v>
      </c>
      <c r="L21" s="630">
        <f t="shared" si="2"/>
        <v>0</v>
      </c>
      <c r="M21" s="2303"/>
      <c r="N21" s="2303"/>
      <c r="O21" s="2303"/>
      <c r="P21" s="2304"/>
      <c r="Q21" s="2305" t="str">
        <f t="shared" si="3"/>
        <v/>
      </c>
      <c r="R21" s="2306" t="str">
        <f>IF(H21="","",IF(C21="Efficiency",Q21/($O$6*VLOOKUP(0,'DCA Underwriting Assumptions'!$J$143:$K$148,2,FALSE)),Q21/($O$6*VLOOKUP(C21,'DCA Underwriting Assumptions'!$J$143:$K$148,2,FALSE))))</f>
        <v/>
      </c>
      <c r="S21" s="2307"/>
      <c r="T21" s="2308"/>
      <c r="U21" s="3027"/>
      <c r="V21" s="3028"/>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8"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2297" t="s">
        <v>1784</v>
      </c>
      <c r="C22" s="2298"/>
      <c r="D22" s="2299"/>
      <c r="E22" s="2300"/>
      <c r="F22" s="2300"/>
      <c r="G22" s="2300"/>
      <c r="H22" s="2300"/>
      <c r="I22" s="2301">
        <f>IF(C22="",0,HLOOKUP(C22,'Part V-Utility Allowances'!$I$11:$M$21,11))</f>
        <v>0</v>
      </c>
      <c r="J22" s="2302"/>
      <c r="K22" s="630">
        <f t="shared" si="1"/>
        <v>0</v>
      </c>
      <c r="L22" s="630">
        <f t="shared" si="2"/>
        <v>0</v>
      </c>
      <c r="M22" s="2303"/>
      <c r="N22" s="2303"/>
      <c r="O22" s="2303"/>
      <c r="P22" s="2304"/>
      <c r="Q22" s="2305" t="str">
        <f t="shared" si="3"/>
        <v/>
      </c>
      <c r="R22" s="2306" t="str">
        <f>IF(H22="","",IF(C22="Efficiency",Q22/($O$6*VLOOKUP(0,'DCA Underwriting Assumptions'!$J$143:$K$148,2,FALSE)),Q22/($O$6*VLOOKUP(C22,'DCA Underwriting Assumptions'!$J$143:$K$148,2,FALSE))))</f>
        <v/>
      </c>
      <c r="S22" s="2307"/>
      <c r="T22" s="2308"/>
      <c r="U22" s="3027"/>
      <c r="V22" s="3028"/>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8"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2297" t="s">
        <v>1784</v>
      </c>
      <c r="C23" s="2298"/>
      <c r="D23" s="2299"/>
      <c r="E23" s="2300"/>
      <c r="F23" s="2300"/>
      <c r="G23" s="2300"/>
      <c r="H23" s="2300"/>
      <c r="I23" s="2301">
        <f>IF(C23="",0,HLOOKUP(C23,'Part V-Utility Allowances'!$I$11:$M$21,11))</f>
        <v>0</v>
      </c>
      <c r="J23" s="2302"/>
      <c r="K23" s="630">
        <f t="shared" si="1"/>
        <v>0</v>
      </c>
      <c r="L23" s="630">
        <f t="shared" si="2"/>
        <v>0</v>
      </c>
      <c r="M23" s="2303"/>
      <c r="N23" s="2303"/>
      <c r="O23" s="2303"/>
      <c r="P23" s="2304"/>
      <c r="Q23" s="2305" t="str">
        <f t="shared" si="3"/>
        <v/>
      </c>
      <c r="R23" s="2306" t="str">
        <f>IF(H23="","",IF(C23="Efficiency",Q23/($O$6*VLOOKUP(0,'DCA Underwriting Assumptions'!$J$143:$K$148,2,FALSE)),Q23/($O$6*VLOOKUP(C23,'DCA Underwriting Assumptions'!$J$143:$K$148,2,FALSE))))</f>
        <v/>
      </c>
      <c r="S23" s="2307"/>
      <c r="T23" s="2308"/>
      <c r="U23" s="3027"/>
      <c r="V23" s="3028"/>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8"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2297" t="s">
        <v>1784</v>
      </c>
      <c r="C24" s="2298"/>
      <c r="D24" s="2299"/>
      <c r="E24" s="2300"/>
      <c r="F24" s="2300"/>
      <c r="G24" s="2300"/>
      <c r="H24" s="2300"/>
      <c r="I24" s="2301">
        <f>IF(C24="",0,HLOOKUP(C24,'Part V-Utility Allowances'!$I$11:$M$21,11))</f>
        <v>0</v>
      </c>
      <c r="J24" s="2302"/>
      <c r="K24" s="630">
        <f t="shared" si="1"/>
        <v>0</v>
      </c>
      <c r="L24" s="630">
        <f t="shared" si="2"/>
        <v>0</v>
      </c>
      <c r="M24" s="2303"/>
      <c r="N24" s="2303"/>
      <c r="O24" s="2303"/>
      <c r="P24" s="2304"/>
      <c r="Q24" s="2305" t="str">
        <f t="shared" si="3"/>
        <v/>
      </c>
      <c r="R24" s="2306" t="str">
        <f>IF(H24="","",IF(C24="Efficiency",Q24/($O$6*VLOOKUP(0,'DCA Underwriting Assumptions'!$J$143:$K$148,2,FALSE)),Q24/($O$6*VLOOKUP(C24,'DCA Underwriting Assumptions'!$J$143:$K$148,2,FALSE))))</f>
        <v/>
      </c>
      <c r="S24" s="2307"/>
      <c r="T24" s="2308"/>
      <c r="U24" s="3027"/>
      <c r="V24" s="3028"/>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8"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2297" t="s">
        <v>1784</v>
      </c>
      <c r="C25" s="2298"/>
      <c r="D25" s="2299"/>
      <c r="E25" s="2300"/>
      <c r="F25" s="2300"/>
      <c r="G25" s="2300"/>
      <c r="H25" s="2300"/>
      <c r="I25" s="2301">
        <f>IF(C25="",0,HLOOKUP(C25,'Part V-Utility Allowances'!$I$11:$M$21,11))</f>
        <v>0</v>
      </c>
      <c r="J25" s="2302"/>
      <c r="K25" s="630">
        <f t="shared" si="1"/>
        <v>0</v>
      </c>
      <c r="L25" s="630">
        <f t="shared" si="2"/>
        <v>0</v>
      </c>
      <c r="M25" s="2303"/>
      <c r="N25" s="2303"/>
      <c r="O25" s="2303"/>
      <c r="P25" s="2304"/>
      <c r="Q25" s="2305" t="str">
        <f t="shared" si="3"/>
        <v/>
      </c>
      <c r="R25" s="2306" t="str">
        <f>IF(H25="","",IF(C25="Efficiency",Q25/($O$6*VLOOKUP(0,'DCA Underwriting Assumptions'!$J$143:$K$148,2,FALSE)),Q25/($O$6*VLOOKUP(C25,'DCA Underwriting Assumptions'!$J$143:$K$148,2,FALSE))))</f>
        <v/>
      </c>
      <c r="S25" s="2307"/>
      <c r="T25" s="2308"/>
      <c r="U25" s="3027"/>
      <c r="V25" s="3028"/>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8"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2297" t="s">
        <v>1784</v>
      </c>
      <c r="C26" s="2298"/>
      <c r="D26" s="2299"/>
      <c r="E26" s="2300"/>
      <c r="F26" s="2300"/>
      <c r="G26" s="2300"/>
      <c r="H26" s="2300"/>
      <c r="I26" s="2301">
        <f>IF(C26="",0,HLOOKUP(C26,'Part V-Utility Allowances'!$I$11:$M$21,11))</f>
        <v>0</v>
      </c>
      <c r="J26" s="2302"/>
      <c r="K26" s="630">
        <f t="shared" si="1"/>
        <v>0</v>
      </c>
      <c r="L26" s="630">
        <f t="shared" si="2"/>
        <v>0</v>
      </c>
      <c r="M26" s="2303"/>
      <c r="N26" s="2303"/>
      <c r="O26" s="2303"/>
      <c r="P26" s="2304"/>
      <c r="Q26" s="2305" t="str">
        <f t="shared" si="3"/>
        <v/>
      </c>
      <c r="R26" s="2306" t="str">
        <f>IF(H26="","",IF(C26="Efficiency",Q26/($O$6*VLOOKUP(0,'DCA Underwriting Assumptions'!$J$143:$K$148,2,FALSE)),Q26/($O$6*VLOOKUP(C26,'DCA Underwriting Assumptions'!$J$143:$K$148,2,FALSE))))</f>
        <v/>
      </c>
      <c r="S26" s="2307"/>
      <c r="T26" s="2308"/>
      <c r="U26" s="3027"/>
      <c r="V26" s="3028"/>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8"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2297" t="s">
        <v>1784</v>
      </c>
      <c r="C27" s="2298"/>
      <c r="D27" s="2299"/>
      <c r="E27" s="2300"/>
      <c r="F27" s="2300"/>
      <c r="G27" s="2300"/>
      <c r="H27" s="2300"/>
      <c r="I27" s="2301">
        <f>IF(C27="",0,HLOOKUP(C27,'Part V-Utility Allowances'!$I$11:$M$21,11))</f>
        <v>0</v>
      </c>
      <c r="J27" s="2302"/>
      <c r="K27" s="630">
        <f t="shared" si="1"/>
        <v>0</v>
      </c>
      <c r="L27" s="630">
        <f t="shared" si="2"/>
        <v>0</v>
      </c>
      <c r="M27" s="2303"/>
      <c r="N27" s="2303"/>
      <c r="O27" s="2303"/>
      <c r="P27" s="2304"/>
      <c r="Q27" s="2305" t="str">
        <f t="shared" si="3"/>
        <v/>
      </c>
      <c r="R27" s="2306" t="str">
        <f>IF(H27="","",IF(C27="Efficiency",Q27/($O$6*VLOOKUP(0,'DCA Underwriting Assumptions'!$J$143:$K$148,2,FALSE)),Q27/($O$6*VLOOKUP(C27,'DCA Underwriting Assumptions'!$J$143:$K$148,2,FALSE))))</f>
        <v/>
      </c>
      <c r="S27" s="2307"/>
      <c r="T27" s="2308"/>
      <c r="U27" s="3027"/>
      <c r="V27" s="3028"/>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8"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2297" t="s">
        <v>1784</v>
      </c>
      <c r="C28" s="2298"/>
      <c r="D28" s="2299"/>
      <c r="E28" s="2300"/>
      <c r="F28" s="2300"/>
      <c r="G28" s="2300"/>
      <c r="H28" s="2300"/>
      <c r="I28" s="2301">
        <f>IF(C28="",0,HLOOKUP(C28,'Part V-Utility Allowances'!$I$11:$M$21,11))</f>
        <v>0</v>
      </c>
      <c r="J28" s="2302"/>
      <c r="K28" s="630">
        <f t="shared" si="1"/>
        <v>0</v>
      </c>
      <c r="L28" s="630">
        <f t="shared" si="2"/>
        <v>0</v>
      </c>
      <c r="M28" s="2303"/>
      <c r="N28" s="2303"/>
      <c r="O28" s="2303"/>
      <c r="P28" s="2304"/>
      <c r="Q28" s="2305" t="str">
        <f t="shared" si="3"/>
        <v/>
      </c>
      <c r="R28" s="2306" t="str">
        <f>IF(H28="","",IF(C28="Efficiency",Q28/($O$6*VLOOKUP(0,'DCA Underwriting Assumptions'!$J$143:$K$148,2,FALSE)),Q28/($O$6*VLOOKUP(C28,'DCA Underwriting Assumptions'!$J$143:$K$148,2,FALSE))))</f>
        <v/>
      </c>
      <c r="S28" s="2307"/>
      <c r="T28" s="2308"/>
      <c r="U28" s="3027"/>
      <c r="V28" s="3028"/>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8"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2297" t="s">
        <v>1784</v>
      </c>
      <c r="C29" s="2298"/>
      <c r="D29" s="2299"/>
      <c r="E29" s="2300"/>
      <c r="F29" s="2300"/>
      <c r="G29" s="2300"/>
      <c r="H29" s="2300"/>
      <c r="I29" s="2301">
        <f>IF(C29="",0,HLOOKUP(C29,'Part V-Utility Allowances'!$I$11:$M$21,11))</f>
        <v>0</v>
      </c>
      <c r="J29" s="2302"/>
      <c r="K29" s="630">
        <f t="shared" si="1"/>
        <v>0</v>
      </c>
      <c r="L29" s="630">
        <f t="shared" si="2"/>
        <v>0</v>
      </c>
      <c r="M29" s="2303"/>
      <c r="N29" s="2303"/>
      <c r="O29" s="2303"/>
      <c r="P29" s="2304"/>
      <c r="Q29" s="2305" t="str">
        <f t="shared" si="3"/>
        <v/>
      </c>
      <c r="R29" s="2306" t="str">
        <f>IF(H29="","",IF(C29="Efficiency",Q29/($O$6*VLOOKUP(0,'DCA Underwriting Assumptions'!$J$143:$K$148,2,FALSE)),Q29/($O$6*VLOOKUP(C29,'DCA Underwriting Assumptions'!$J$143:$K$148,2,FALSE))))</f>
        <v/>
      </c>
      <c r="S29" s="2307"/>
      <c r="T29" s="2308"/>
      <c r="U29" s="3027"/>
      <c r="V29" s="3028"/>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8"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2297" t="s">
        <v>1784</v>
      </c>
      <c r="C30" s="2298"/>
      <c r="D30" s="2299"/>
      <c r="E30" s="2300"/>
      <c r="F30" s="2300"/>
      <c r="G30" s="2300"/>
      <c r="H30" s="2300"/>
      <c r="I30" s="2301">
        <f>IF(C30="",0,HLOOKUP(C30,'Part V-Utility Allowances'!$I$11:$M$21,11))</f>
        <v>0</v>
      </c>
      <c r="J30" s="2302"/>
      <c r="K30" s="630">
        <f t="shared" si="1"/>
        <v>0</v>
      </c>
      <c r="L30" s="630">
        <f t="shared" si="2"/>
        <v>0</v>
      </c>
      <c r="M30" s="2303"/>
      <c r="N30" s="2303"/>
      <c r="O30" s="2303"/>
      <c r="P30" s="2304"/>
      <c r="Q30" s="2305" t="str">
        <f t="shared" si="3"/>
        <v/>
      </c>
      <c r="R30" s="2306" t="str">
        <f>IF(H30="","",IF(C30="Efficiency",Q30/($O$6*VLOOKUP(0,'DCA Underwriting Assumptions'!$J$143:$K$148,2,FALSE)),Q30/($O$6*VLOOKUP(C30,'DCA Underwriting Assumptions'!$J$143:$K$148,2,FALSE))))</f>
        <v/>
      </c>
      <c r="S30" s="2307"/>
      <c r="T30" s="2308"/>
      <c r="U30" s="3027"/>
      <c r="V30" s="3028"/>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8"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2297" t="s">
        <v>1784</v>
      </c>
      <c r="C31" s="2298"/>
      <c r="D31" s="2299"/>
      <c r="E31" s="2300"/>
      <c r="F31" s="2300"/>
      <c r="G31" s="2300"/>
      <c r="H31" s="2300"/>
      <c r="I31" s="2301">
        <f>IF(C31="",0,HLOOKUP(C31,'Part V-Utility Allowances'!$I$11:$M$21,11))</f>
        <v>0</v>
      </c>
      <c r="J31" s="2302"/>
      <c r="K31" s="630">
        <f t="shared" si="1"/>
        <v>0</v>
      </c>
      <c r="L31" s="630">
        <f t="shared" si="2"/>
        <v>0</v>
      </c>
      <c r="M31" s="2303"/>
      <c r="N31" s="2303"/>
      <c r="O31" s="2303"/>
      <c r="P31" s="2304"/>
      <c r="Q31" s="2305" t="str">
        <f t="shared" si="3"/>
        <v/>
      </c>
      <c r="R31" s="2306" t="str">
        <f>IF(H31="","",IF(C31="Efficiency",Q31/($O$6*VLOOKUP(0,'DCA Underwriting Assumptions'!$J$143:$K$148,2,FALSE)),Q31/($O$6*VLOOKUP(C31,'DCA Underwriting Assumptions'!$J$143:$K$148,2,FALSE))))</f>
        <v/>
      </c>
      <c r="S31" s="2307"/>
      <c r="T31" s="2308"/>
      <c r="U31" s="3027"/>
      <c r="V31" s="3028"/>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8"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2297" t="s">
        <v>1784</v>
      </c>
      <c r="C32" s="2298"/>
      <c r="D32" s="2299"/>
      <c r="E32" s="2300"/>
      <c r="F32" s="2300"/>
      <c r="G32" s="2300"/>
      <c r="H32" s="2300"/>
      <c r="I32" s="2301">
        <f>IF(C32="",0,HLOOKUP(C32,'Part V-Utility Allowances'!$I$11:$M$21,11))</f>
        <v>0</v>
      </c>
      <c r="J32" s="2302"/>
      <c r="K32" s="630">
        <f t="shared" si="1"/>
        <v>0</v>
      </c>
      <c r="L32" s="630">
        <f t="shared" si="2"/>
        <v>0</v>
      </c>
      <c r="M32" s="2303"/>
      <c r="N32" s="2303"/>
      <c r="O32" s="2303"/>
      <c r="P32" s="2304"/>
      <c r="Q32" s="2305" t="str">
        <f t="shared" si="3"/>
        <v/>
      </c>
      <c r="R32" s="2306" t="str">
        <f>IF(H32="","",IF(C32="Efficiency",Q32/($O$6*VLOOKUP(0,'DCA Underwriting Assumptions'!$J$143:$K$148,2,FALSE)),Q32/($O$6*VLOOKUP(C32,'DCA Underwriting Assumptions'!$J$143:$K$148,2,FALSE))))</f>
        <v/>
      </c>
      <c r="S32" s="2307"/>
      <c r="T32" s="2308"/>
      <c r="U32" s="3027"/>
      <c r="V32" s="3028"/>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8"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2297" t="s">
        <v>1784</v>
      </c>
      <c r="C33" s="2298"/>
      <c r="D33" s="2299"/>
      <c r="E33" s="2300"/>
      <c r="F33" s="2300"/>
      <c r="G33" s="2300"/>
      <c r="H33" s="2300"/>
      <c r="I33" s="2301">
        <f>IF(C33="",0,HLOOKUP(C33,'Part V-Utility Allowances'!$I$11:$M$21,11))</f>
        <v>0</v>
      </c>
      <c r="J33" s="2302"/>
      <c r="K33" s="630">
        <f t="shared" si="1"/>
        <v>0</v>
      </c>
      <c r="L33" s="630">
        <f t="shared" si="2"/>
        <v>0</v>
      </c>
      <c r="M33" s="2303"/>
      <c r="N33" s="2303"/>
      <c r="O33" s="2303"/>
      <c r="P33" s="2304"/>
      <c r="Q33" s="2305" t="str">
        <f t="shared" si="3"/>
        <v/>
      </c>
      <c r="R33" s="2306" t="str">
        <f>IF(H33="","",IF(C33="Efficiency",Q33/($O$6*VLOOKUP(0,'DCA Underwriting Assumptions'!$J$143:$K$148,2,FALSE)),Q33/($O$6*VLOOKUP(C33,'DCA Underwriting Assumptions'!$J$143:$K$148,2,FALSE))))</f>
        <v/>
      </c>
      <c r="S33" s="2307"/>
      <c r="T33" s="2308"/>
      <c r="U33" s="3027"/>
      <c r="V33" s="3028"/>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8"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2297" t="s">
        <v>1784</v>
      </c>
      <c r="C34" s="2298"/>
      <c r="D34" s="2299"/>
      <c r="E34" s="2300"/>
      <c r="F34" s="2300"/>
      <c r="G34" s="2300"/>
      <c r="H34" s="2300"/>
      <c r="I34" s="2301">
        <f>IF(C34="",0,HLOOKUP(C34,'Part V-Utility Allowances'!$I$11:$M$21,11))</f>
        <v>0</v>
      </c>
      <c r="J34" s="2302"/>
      <c r="K34" s="630">
        <f t="shared" si="1"/>
        <v>0</v>
      </c>
      <c r="L34" s="630">
        <f t="shared" si="2"/>
        <v>0</v>
      </c>
      <c r="M34" s="2303"/>
      <c r="N34" s="2303"/>
      <c r="O34" s="2303"/>
      <c r="P34" s="2304"/>
      <c r="Q34" s="2305" t="str">
        <f t="shared" si="3"/>
        <v/>
      </c>
      <c r="R34" s="2306" t="str">
        <f>IF(H34="","",IF(C34="Efficiency",Q34/($O$6*VLOOKUP(0,'DCA Underwriting Assumptions'!$J$143:$K$148,2,FALSE)),Q34/($O$6*VLOOKUP(C34,'DCA Underwriting Assumptions'!$J$143:$K$148,2,FALSE))))</f>
        <v/>
      </c>
      <c r="S34" s="2307"/>
      <c r="T34" s="2308"/>
      <c r="U34" s="3027"/>
      <c r="V34" s="3028"/>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8"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2297" t="s">
        <v>1784</v>
      </c>
      <c r="C35" s="2298"/>
      <c r="D35" s="2299"/>
      <c r="E35" s="2300"/>
      <c r="F35" s="2300"/>
      <c r="G35" s="2300"/>
      <c r="H35" s="2300"/>
      <c r="I35" s="2301">
        <f>IF(C35="",0,HLOOKUP(C35,'Part V-Utility Allowances'!$I$11:$M$21,11))</f>
        <v>0</v>
      </c>
      <c r="J35" s="2302"/>
      <c r="K35" s="630">
        <f t="shared" si="1"/>
        <v>0</v>
      </c>
      <c r="L35" s="630">
        <f t="shared" si="2"/>
        <v>0</v>
      </c>
      <c r="M35" s="2303"/>
      <c r="N35" s="2303"/>
      <c r="O35" s="2303"/>
      <c r="P35" s="2304"/>
      <c r="Q35" s="2305" t="str">
        <f t="shared" si="3"/>
        <v/>
      </c>
      <c r="R35" s="2306" t="str">
        <f>IF(H35="","",IF(C35="Efficiency",Q35/($O$6*VLOOKUP(0,'DCA Underwriting Assumptions'!$J$143:$K$148,2,FALSE)),Q35/($O$6*VLOOKUP(C35,'DCA Underwriting Assumptions'!$J$143:$K$148,2,FALSE))))</f>
        <v/>
      </c>
      <c r="S35" s="2307"/>
      <c r="T35" s="2308"/>
      <c r="U35" s="3027"/>
      <c r="V35" s="3028"/>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8"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2297" t="s">
        <v>1784</v>
      </c>
      <c r="C36" s="2298"/>
      <c r="D36" s="2299"/>
      <c r="E36" s="2300"/>
      <c r="F36" s="2300"/>
      <c r="G36" s="2300"/>
      <c r="H36" s="2300"/>
      <c r="I36" s="2301">
        <f>IF(C36="",0,HLOOKUP(C36,'Part V-Utility Allowances'!$I$11:$M$21,11))</f>
        <v>0</v>
      </c>
      <c r="J36" s="2302"/>
      <c r="K36" s="630">
        <f t="shared" si="1"/>
        <v>0</v>
      </c>
      <c r="L36" s="630">
        <f t="shared" si="2"/>
        <v>0</v>
      </c>
      <c r="M36" s="2303"/>
      <c r="N36" s="2303"/>
      <c r="O36" s="2303"/>
      <c r="P36" s="2304"/>
      <c r="Q36" s="2305" t="str">
        <f t="shared" si="3"/>
        <v/>
      </c>
      <c r="R36" s="2306" t="str">
        <f>IF(H36="","",IF(C36="Efficiency",Q36/($O$6*VLOOKUP(0,'DCA Underwriting Assumptions'!$J$143:$K$148,2,FALSE)),Q36/($O$6*VLOOKUP(C36,'DCA Underwriting Assumptions'!$J$143:$K$148,2,FALSE))))</f>
        <v/>
      </c>
      <c r="S36" s="2307"/>
      <c r="T36" s="2308"/>
      <c r="U36" s="3027"/>
      <c r="V36" s="3028"/>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8"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2297" t="s">
        <v>1784</v>
      </c>
      <c r="C37" s="2298"/>
      <c r="D37" s="2299"/>
      <c r="E37" s="2300"/>
      <c r="F37" s="2300"/>
      <c r="G37" s="2300"/>
      <c r="H37" s="2300"/>
      <c r="I37" s="2301">
        <f>IF(C37="",0,HLOOKUP(C37,'Part V-Utility Allowances'!$I$11:$M$21,11))</f>
        <v>0</v>
      </c>
      <c r="J37" s="2302"/>
      <c r="K37" s="630">
        <f t="shared" si="1"/>
        <v>0</v>
      </c>
      <c r="L37" s="630">
        <f t="shared" si="2"/>
        <v>0</v>
      </c>
      <c r="M37" s="2303"/>
      <c r="N37" s="2303"/>
      <c r="O37" s="2303"/>
      <c r="P37" s="2304"/>
      <c r="Q37" s="2305" t="str">
        <f t="shared" si="3"/>
        <v/>
      </c>
      <c r="R37" s="2306" t="str">
        <f>IF(H37="","",IF(C37="Efficiency",Q37/($O$6*VLOOKUP(0,'DCA Underwriting Assumptions'!$J$143:$K$148,2,FALSE)),Q37/($O$6*VLOOKUP(C37,'DCA Underwriting Assumptions'!$J$143:$K$148,2,FALSE))))</f>
        <v/>
      </c>
      <c r="S37" s="2307"/>
      <c r="T37" s="2308"/>
      <c r="U37" s="3027"/>
      <c r="V37" s="3028"/>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8"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2297" t="s">
        <v>1784</v>
      </c>
      <c r="C38" s="2298"/>
      <c r="D38" s="2299"/>
      <c r="E38" s="2300"/>
      <c r="F38" s="2300"/>
      <c r="G38" s="2300"/>
      <c r="H38" s="2300"/>
      <c r="I38" s="2301">
        <f>IF(C38="",0,HLOOKUP(C38,'Part V-Utility Allowances'!$I$11:$M$21,11))</f>
        <v>0</v>
      </c>
      <c r="J38" s="2302"/>
      <c r="K38" s="630">
        <f t="shared" si="1"/>
        <v>0</v>
      </c>
      <c r="L38" s="630">
        <f t="shared" si="2"/>
        <v>0</v>
      </c>
      <c r="M38" s="2303"/>
      <c r="N38" s="2303"/>
      <c r="O38" s="2303"/>
      <c r="P38" s="2304"/>
      <c r="Q38" s="2305" t="str">
        <f t="shared" si="3"/>
        <v/>
      </c>
      <c r="R38" s="2306" t="str">
        <f>IF(H38="","",IF(C38="Efficiency",Q38/($O$6*VLOOKUP(0,'DCA Underwriting Assumptions'!$J$143:$K$148,2,FALSE)),Q38/($O$6*VLOOKUP(C38,'DCA Underwriting Assumptions'!$J$143:$K$148,2,FALSE))))</f>
        <v/>
      </c>
      <c r="S38" s="2307"/>
      <c r="T38" s="2308"/>
      <c r="U38" s="3027"/>
      <c r="V38" s="3028"/>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8"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2297" t="s">
        <v>1784</v>
      </c>
      <c r="C39" s="2298"/>
      <c r="D39" s="2299"/>
      <c r="E39" s="2300"/>
      <c r="F39" s="2300"/>
      <c r="G39" s="2300"/>
      <c r="H39" s="2300"/>
      <c r="I39" s="2301">
        <f>IF(C39="",0,HLOOKUP(C39,'Part V-Utility Allowances'!$I$11:$M$21,11))</f>
        <v>0</v>
      </c>
      <c r="J39" s="2302"/>
      <c r="K39" s="630">
        <f t="shared" si="1"/>
        <v>0</v>
      </c>
      <c r="L39" s="630">
        <f t="shared" si="2"/>
        <v>0</v>
      </c>
      <c r="M39" s="2303"/>
      <c r="N39" s="2303"/>
      <c r="O39" s="2303"/>
      <c r="P39" s="2304"/>
      <c r="Q39" s="2305" t="str">
        <f t="shared" si="3"/>
        <v/>
      </c>
      <c r="R39" s="2306" t="str">
        <f>IF(H39="","",IF(C39="Efficiency",Q39/($O$6*VLOOKUP(0,'DCA Underwriting Assumptions'!$J$143:$K$148,2,FALSE)),Q39/($O$6*VLOOKUP(C39,'DCA Underwriting Assumptions'!$J$143:$K$148,2,FALSE))))</f>
        <v/>
      </c>
      <c r="S39" s="2307"/>
      <c r="T39" s="2308"/>
      <c r="U39" s="3027"/>
      <c r="V39" s="3028"/>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8"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2297" t="s">
        <v>1784</v>
      </c>
      <c r="C40" s="2298"/>
      <c r="D40" s="2299"/>
      <c r="E40" s="2300"/>
      <c r="F40" s="2300"/>
      <c r="G40" s="2300"/>
      <c r="H40" s="2300"/>
      <c r="I40" s="2301">
        <f>IF(C40="",0,HLOOKUP(C40,'Part V-Utility Allowances'!$I$11:$M$21,11))</f>
        <v>0</v>
      </c>
      <c r="J40" s="2302"/>
      <c r="K40" s="630">
        <f t="shared" si="1"/>
        <v>0</v>
      </c>
      <c r="L40" s="630">
        <f t="shared" si="2"/>
        <v>0</v>
      </c>
      <c r="M40" s="2303"/>
      <c r="N40" s="2303"/>
      <c r="O40" s="2303"/>
      <c r="P40" s="2304"/>
      <c r="Q40" s="2305" t="str">
        <f t="shared" si="3"/>
        <v/>
      </c>
      <c r="R40" s="2306" t="str">
        <f>IF(H40="","",IF(C40="Efficiency",Q40/($O$6*VLOOKUP(0,'DCA Underwriting Assumptions'!$J$143:$K$148,2,FALSE)),Q40/($O$6*VLOOKUP(C40,'DCA Underwriting Assumptions'!$J$143:$K$148,2,FALSE))))</f>
        <v/>
      </c>
      <c r="S40" s="2307"/>
      <c r="T40" s="2308"/>
      <c r="U40" s="3027"/>
      <c r="V40" s="3028"/>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8"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2297" t="s">
        <v>1784</v>
      </c>
      <c r="C41" s="2298"/>
      <c r="D41" s="2299"/>
      <c r="E41" s="2300"/>
      <c r="F41" s="2300"/>
      <c r="G41" s="2300"/>
      <c r="H41" s="2300"/>
      <c r="I41" s="2301">
        <f>IF(C41="",0,HLOOKUP(C41,'Part V-Utility Allowances'!$I$11:$M$21,11))</f>
        <v>0</v>
      </c>
      <c r="J41" s="2302"/>
      <c r="K41" s="630">
        <f t="shared" si="1"/>
        <v>0</v>
      </c>
      <c r="L41" s="630">
        <f t="shared" si="2"/>
        <v>0</v>
      </c>
      <c r="M41" s="2303"/>
      <c r="N41" s="2303"/>
      <c r="O41" s="2303"/>
      <c r="P41" s="2304"/>
      <c r="Q41" s="2305" t="str">
        <f t="shared" si="3"/>
        <v/>
      </c>
      <c r="R41" s="2306" t="str">
        <f>IF(H41="","",IF(C41="Efficiency",Q41/($O$6*VLOOKUP(0,'DCA Underwriting Assumptions'!$J$143:$K$148,2,FALSE)),Q41/($O$6*VLOOKUP(C41,'DCA Underwriting Assumptions'!$J$143:$K$148,2,FALSE))))</f>
        <v/>
      </c>
      <c r="S41" s="2307"/>
      <c r="T41" s="2308"/>
      <c r="U41" s="3027"/>
      <c r="V41" s="3028"/>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8"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2297" t="s">
        <v>1784</v>
      </c>
      <c r="C42" s="2298"/>
      <c r="D42" s="2299"/>
      <c r="E42" s="2300"/>
      <c r="F42" s="2300"/>
      <c r="G42" s="2300"/>
      <c r="H42" s="2300"/>
      <c r="I42" s="2301">
        <f>IF(C42="",0,HLOOKUP(C42,'Part V-Utility Allowances'!$I$11:$M$21,11))</f>
        <v>0</v>
      </c>
      <c r="J42" s="2302"/>
      <c r="K42" s="630">
        <f t="shared" si="1"/>
        <v>0</v>
      </c>
      <c r="L42" s="630">
        <f t="shared" si="2"/>
        <v>0</v>
      </c>
      <c r="M42" s="2303"/>
      <c r="N42" s="2303"/>
      <c r="O42" s="2303"/>
      <c r="P42" s="2304"/>
      <c r="Q42" s="2305" t="str">
        <f t="shared" si="3"/>
        <v/>
      </c>
      <c r="R42" s="2306" t="str">
        <f>IF(H42="","",IF(C42="Efficiency",Q42/($O$6*VLOOKUP(0,'DCA Underwriting Assumptions'!$J$143:$K$148,2,FALSE)),Q42/($O$6*VLOOKUP(C42,'DCA Underwriting Assumptions'!$J$143:$K$148,2,FALSE))))</f>
        <v/>
      </c>
      <c r="S42" s="2307"/>
      <c r="T42" s="2308"/>
      <c r="U42" s="3027"/>
      <c r="V42" s="3028"/>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8"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2297" t="s">
        <v>1784</v>
      </c>
      <c r="C43" s="2298"/>
      <c r="D43" s="2299"/>
      <c r="E43" s="2300"/>
      <c r="F43" s="2300"/>
      <c r="G43" s="2300"/>
      <c r="H43" s="2300"/>
      <c r="I43" s="2301">
        <f>IF(C43="",0,HLOOKUP(C43,'Part V-Utility Allowances'!$I$11:$M$21,11))</f>
        <v>0</v>
      </c>
      <c r="J43" s="2302"/>
      <c r="K43" s="630">
        <f t="shared" si="1"/>
        <v>0</v>
      </c>
      <c r="L43" s="630">
        <f t="shared" si="2"/>
        <v>0</v>
      </c>
      <c r="M43" s="2303"/>
      <c r="N43" s="2303"/>
      <c r="O43" s="2303"/>
      <c r="P43" s="2304"/>
      <c r="Q43" s="2305" t="str">
        <f t="shared" si="3"/>
        <v/>
      </c>
      <c r="R43" s="2306" t="str">
        <f>IF(H43="","",IF(C43="Efficiency",Q43/($O$6*VLOOKUP(0,'DCA Underwriting Assumptions'!$J$143:$K$148,2,FALSE)),Q43/($O$6*VLOOKUP(C43,'DCA Underwriting Assumptions'!$J$143:$K$148,2,FALSE))))</f>
        <v/>
      </c>
      <c r="S43" s="2307"/>
      <c r="T43" s="2308"/>
      <c r="U43" s="3027"/>
      <c r="V43" s="3028"/>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8"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2297" t="s">
        <v>1784</v>
      </c>
      <c r="C44" s="2298"/>
      <c r="D44" s="2299"/>
      <c r="E44" s="2300"/>
      <c r="F44" s="2300"/>
      <c r="G44" s="2300"/>
      <c r="H44" s="2300"/>
      <c r="I44" s="2301">
        <f>IF(C44="",0,HLOOKUP(C44,'Part V-Utility Allowances'!$I$11:$M$21,11))</f>
        <v>0</v>
      </c>
      <c r="J44" s="2302"/>
      <c r="K44" s="630">
        <f t="shared" si="1"/>
        <v>0</v>
      </c>
      <c r="L44" s="630">
        <f t="shared" si="2"/>
        <v>0</v>
      </c>
      <c r="M44" s="2303"/>
      <c r="N44" s="2303"/>
      <c r="O44" s="2303"/>
      <c r="P44" s="2304"/>
      <c r="Q44" s="2305" t="str">
        <f t="shared" si="3"/>
        <v/>
      </c>
      <c r="R44" s="2306" t="str">
        <f>IF(H44="","",IF(C44="Efficiency",Q44/($O$6*VLOOKUP(0,'DCA Underwriting Assumptions'!$J$143:$K$148,2,FALSE)),Q44/($O$6*VLOOKUP(C44,'DCA Underwriting Assumptions'!$J$143:$K$148,2,FALSE))))</f>
        <v/>
      </c>
      <c r="S44" s="2307"/>
      <c r="T44" s="2308"/>
      <c r="U44" s="3027"/>
      <c r="V44" s="3028"/>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8"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2297" t="s">
        <v>1784</v>
      </c>
      <c r="C45" s="2298"/>
      <c r="D45" s="2299"/>
      <c r="E45" s="2300"/>
      <c r="F45" s="2300"/>
      <c r="G45" s="2300"/>
      <c r="H45" s="2300"/>
      <c r="I45" s="2301">
        <f>IF(C45="",0,HLOOKUP(C45,'Part V-Utility Allowances'!$I$11:$M$21,11))</f>
        <v>0</v>
      </c>
      <c r="J45" s="2302"/>
      <c r="K45" s="630">
        <f t="shared" si="1"/>
        <v>0</v>
      </c>
      <c r="L45" s="630">
        <f t="shared" si="2"/>
        <v>0</v>
      </c>
      <c r="M45" s="2303"/>
      <c r="N45" s="2303"/>
      <c r="O45" s="2303"/>
      <c r="P45" s="2304"/>
      <c r="Q45" s="2305" t="str">
        <f t="shared" si="3"/>
        <v/>
      </c>
      <c r="R45" s="2306" t="str">
        <f>IF(H45="","",IF(C45="Efficiency",Q45/($O$6*VLOOKUP(0,'DCA Underwriting Assumptions'!$J$143:$K$148,2,FALSE)),Q45/($O$6*VLOOKUP(C45,'DCA Underwriting Assumptions'!$J$143:$K$148,2,FALSE))))</f>
        <v/>
      </c>
      <c r="S45" s="2307"/>
      <c r="T45" s="2308"/>
      <c r="U45" s="3027"/>
      <c r="V45" s="3028"/>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8"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2297" t="s">
        <v>1784</v>
      </c>
      <c r="C46" s="2298"/>
      <c r="D46" s="2299"/>
      <c r="E46" s="2300"/>
      <c r="F46" s="2300"/>
      <c r="G46" s="2300"/>
      <c r="H46" s="2300"/>
      <c r="I46" s="2301">
        <f>IF(C46="",0,HLOOKUP(C46,'Part V-Utility Allowances'!$I$11:$M$21,11))</f>
        <v>0</v>
      </c>
      <c r="J46" s="2302"/>
      <c r="K46" s="630">
        <f t="shared" si="1"/>
        <v>0</v>
      </c>
      <c r="L46" s="630">
        <f t="shared" si="2"/>
        <v>0</v>
      </c>
      <c r="M46" s="2303"/>
      <c r="N46" s="2303"/>
      <c r="O46" s="2303"/>
      <c r="P46" s="2304"/>
      <c r="Q46" s="2305" t="str">
        <f t="shared" si="3"/>
        <v/>
      </c>
      <c r="R46" s="2306" t="str">
        <f>IF(H46="","",IF(C46="Efficiency",Q46/($O$6*VLOOKUP(0,'DCA Underwriting Assumptions'!$J$143:$K$148,2,FALSE)),Q46/($O$6*VLOOKUP(C46,'DCA Underwriting Assumptions'!$J$143:$K$148,2,FALSE))))</f>
        <v/>
      </c>
      <c r="S46" s="2307"/>
      <c r="T46" s="2308"/>
      <c r="U46" s="3027"/>
      <c r="V46" s="3028"/>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8"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2309" t="s">
        <v>1784</v>
      </c>
      <c r="C47" s="2310"/>
      <c r="D47" s="2311"/>
      <c r="E47" s="2312"/>
      <c r="F47" s="2312"/>
      <c r="G47" s="2312"/>
      <c r="H47" s="2312"/>
      <c r="I47" s="2313">
        <f>IF(C47="",0,HLOOKUP(C47,'Part V-Utility Allowances'!$I$11:$M$21,11))</f>
        <v>0</v>
      </c>
      <c r="J47" s="2314"/>
      <c r="K47" s="631">
        <f t="shared" si="1"/>
        <v>0</v>
      </c>
      <c r="L47" s="631">
        <f t="shared" si="2"/>
        <v>0</v>
      </c>
      <c r="M47" s="2315"/>
      <c r="N47" s="2315"/>
      <c r="O47" s="2315"/>
      <c r="P47" s="2316"/>
      <c r="Q47" s="2317" t="str">
        <f t="shared" si="3"/>
        <v/>
      </c>
      <c r="R47" s="2318" t="str">
        <f>IF(H47="","",IF(C47="Efficiency",Q47/($O$6*VLOOKUP(0,'DCA Underwriting Assumptions'!$J$143:$K$148,2,FALSE)),Q47/($O$6*VLOOKUP(C47,'DCA Underwriting Assumptions'!$J$143:$K$148,2,FALSE))))</f>
        <v/>
      </c>
      <c r="S47" s="2319"/>
      <c r="T47" s="2320"/>
      <c r="U47" s="3069"/>
      <c r="V47" s="3070"/>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8"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0</v>
      </c>
      <c r="B48" s="602"/>
      <c r="C48" s="97"/>
      <c r="D48" s="143" t="s">
        <v>1028</v>
      </c>
      <c r="E48" s="128">
        <f>SUM(E10:E47)</f>
        <v>65</v>
      </c>
      <c r="F48" s="974">
        <f>(E10*F10+E11*F11+E12*F12+E13*F13+E14*F14+E15*F15+E16*F16+E17*F17+E18*F18+E19*F19+E20*F20+E21*F21+E22*F22+E23*F23+E24*F24+E25*F25+E26*F26+E27*F27+E28*F28+E29*F29+E30*F30+E31*F31+E32*F32+E33*F33+E34*F34+E35*F35+E36*F36+E37*F37+E38*F38+E39*F39+E40*F40+E41*F41+E42*F42+E43*F43+E44*F44+E45*F45+E46*F46+E47*F47)</f>
        <v>87408</v>
      </c>
      <c r="G48" s="603"/>
      <c r="H48" s="604"/>
      <c r="I48" s="604"/>
      <c r="J48" s="604"/>
      <c r="K48" s="977" t="s">
        <v>1314</v>
      </c>
      <c r="L48" s="127">
        <f>SUM(L10:L47)</f>
        <v>38738</v>
      </c>
      <c r="M48" s="97"/>
      <c r="N48" s="605"/>
      <c r="O48" s="97"/>
      <c r="P48" s="490"/>
      <c r="Q48" s="490"/>
      <c r="R48" s="490"/>
      <c r="S48" s="490"/>
      <c r="T48" s="490"/>
      <c r="U48" s="955"/>
      <c r="V48" s="606"/>
      <c r="W48" s="607">
        <f t="shared" ref="W48:CH48" si="259">SUM(W10:W47)</f>
        <v>0</v>
      </c>
      <c r="X48" s="607">
        <f t="shared" si="259"/>
        <v>0</v>
      </c>
      <c r="Y48" s="607">
        <f t="shared" si="259"/>
        <v>28</v>
      </c>
      <c r="Z48" s="607">
        <f t="shared" si="259"/>
        <v>12</v>
      </c>
      <c r="AA48" s="607">
        <f t="shared" si="259"/>
        <v>0</v>
      </c>
      <c r="AB48" s="607">
        <f t="shared" si="259"/>
        <v>0</v>
      </c>
      <c r="AC48" s="607">
        <f t="shared" si="259"/>
        <v>0</v>
      </c>
      <c r="AD48" s="607">
        <f t="shared" si="259"/>
        <v>17</v>
      </c>
      <c r="AE48" s="607">
        <f t="shared" si="259"/>
        <v>8</v>
      </c>
      <c r="AF48" s="607">
        <f t="shared" si="259"/>
        <v>0</v>
      </c>
      <c r="AG48" s="607">
        <f t="shared" si="259"/>
        <v>0</v>
      </c>
      <c r="AH48" s="607">
        <f t="shared" si="259"/>
        <v>0</v>
      </c>
      <c r="AI48" s="607">
        <f t="shared" si="259"/>
        <v>0</v>
      </c>
      <c r="AJ48" s="607">
        <f t="shared" si="259"/>
        <v>0</v>
      </c>
      <c r="AK48" s="607">
        <f t="shared" si="259"/>
        <v>0</v>
      </c>
      <c r="AL48" s="607">
        <f t="shared" si="259"/>
        <v>0</v>
      </c>
      <c r="AM48" s="607">
        <f t="shared" si="259"/>
        <v>0</v>
      </c>
      <c r="AN48" s="607">
        <f t="shared" si="259"/>
        <v>0</v>
      </c>
      <c r="AO48" s="607">
        <f t="shared" si="259"/>
        <v>0</v>
      </c>
      <c r="AP48" s="607">
        <f t="shared" si="259"/>
        <v>0</v>
      </c>
      <c r="AQ48" s="607">
        <f t="shared" si="259"/>
        <v>0</v>
      </c>
      <c r="AR48" s="607">
        <f t="shared" si="259"/>
        <v>0</v>
      </c>
      <c r="AS48" s="607">
        <f t="shared" si="259"/>
        <v>0</v>
      </c>
      <c r="AT48" s="607">
        <f t="shared" si="259"/>
        <v>0</v>
      </c>
      <c r="AU48" s="607">
        <f t="shared" si="259"/>
        <v>0</v>
      </c>
      <c r="AV48" s="607">
        <f t="shared" si="259"/>
        <v>0</v>
      </c>
      <c r="AW48" s="607">
        <f t="shared" si="259"/>
        <v>0</v>
      </c>
      <c r="AX48" s="607">
        <f t="shared" si="259"/>
        <v>17</v>
      </c>
      <c r="AY48" s="607">
        <f t="shared" si="259"/>
        <v>8</v>
      </c>
      <c r="AZ48" s="607">
        <f t="shared" si="259"/>
        <v>0</v>
      </c>
      <c r="BA48" s="607">
        <f t="shared" si="259"/>
        <v>0</v>
      </c>
      <c r="BB48" s="607">
        <f t="shared" si="259"/>
        <v>0</v>
      </c>
      <c r="BC48" s="607">
        <f t="shared" si="259"/>
        <v>0</v>
      </c>
      <c r="BD48" s="607">
        <f t="shared" si="259"/>
        <v>0</v>
      </c>
      <c r="BE48" s="607">
        <f t="shared" si="259"/>
        <v>0</v>
      </c>
      <c r="BF48" s="607">
        <f t="shared" si="259"/>
        <v>0</v>
      </c>
      <c r="BG48" s="607">
        <f t="shared" si="259"/>
        <v>0</v>
      </c>
      <c r="BH48" s="607">
        <f t="shared" si="259"/>
        <v>0</v>
      </c>
      <c r="BI48" s="607">
        <f t="shared" si="259"/>
        <v>0</v>
      </c>
      <c r="BJ48" s="607">
        <f t="shared" si="259"/>
        <v>0</v>
      </c>
      <c r="BK48" s="607">
        <f t="shared" si="259"/>
        <v>0</v>
      </c>
      <c r="BL48" s="607">
        <f t="shared" si="259"/>
        <v>0</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0</v>
      </c>
      <c r="BX48" s="607">
        <f t="shared" si="259"/>
        <v>0</v>
      </c>
      <c r="BY48" s="607">
        <f t="shared" si="259"/>
        <v>0</v>
      </c>
      <c r="BZ48" s="607">
        <f t="shared" si="259"/>
        <v>0</v>
      </c>
      <c r="CA48" s="607">
        <f t="shared" si="259"/>
        <v>0</v>
      </c>
      <c r="CB48" s="607">
        <f t="shared" si="259"/>
        <v>34572</v>
      </c>
      <c r="CC48" s="607">
        <f t="shared" si="259"/>
        <v>19108</v>
      </c>
      <c r="CD48" s="607">
        <f t="shared" si="259"/>
        <v>0</v>
      </c>
      <c r="CE48" s="607">
        <f t="shared" si="259"/>
        <v>0</v>
      </c>
      <c r="CF48" s="607">
        <f t="shared" si="259"/>
        <v>0</v>
      </c>
      <c r="CG48" s="607">
        <f t="shared" si="259"/>
        <v>21036</v>
      </c>
      <c r="CH48" s="607">
        <f t="shared" si="259"/>
        <v>12692</v>
      </c>
      <c r="CI48" s="607">
        <f t="shared" ref="CI48:ET48" si="260">SUM(CI10:CI47)</f>
        <v>0</v>
      </c>
      <c r="CJ48" s="607">
        <f t="shared" si="260"/>
        <v>0</v>
      </c>
      <c r="CK48" s="607">
        <f t="shared" si="260"/>
        <v>0</v>
      </c>
      <c r="CL48" s="607">
        <f t="shared" si="260"/>
        <v>0</v>
      </c>
      <c r="CM48" s="607">
        <f t="shared" si="260"/>
        <v>0</v>
      </c>
      <c r="CN48" s="607">
        <f t="shared" si="260"/>
        <v>0</v>
      </c>
      <c r="CO48" s="607">
        <f t="shared" si="260"/>
        <v>0</v>
      </c>
      <c r="CP48" s="607">
        <f t="shared" si="260"/>
        <v>0</v>
      </c>
      <c r="CQ48" s="607">
        <f t="shared" si="260"/>
        <v>0</v>
      </c>
      <c r="CR48" s="607">
        <f t="shared" si="260"/>
        <v>0</v>
      </c>
      <c r="CS48" s="607">
        <f t="shared" si="260"/>
        <v>0</v>
      </c>
      <c r="CT48" s="607">
        <f t="shared" si="260"/>
        <v>0</v>
      </c>
      <c r="CU48" s="607">
        <f t="shared" si="260"/>
        <v>0</v>
      </c>
      <c r="CV48" s="607">
        <f t="shared" si="260"/>
        <v>21036</v>
      </c>
      <c r="CW48" s="607">
        <f t="shared" si="260"/>
        <v>12692</v>
      </c>
      <c r="CX48" s="607">
        <f t="shared" si="260"/>
        <v>0</v>
      </c>
      <c r="CY48" s="607">
        <f t="shared" si="260"/>
        <v>0</v>
      </c>
      <c r="CZ48" s="607">
        <f t="shared" si="260"/>
        <v>0</v>
      </c>
      <c r="DA48" s="607">
        <f t="shared" si="260"/>
        <v>0</v>
      </c>
      <c r="DB48" s="607">
        <f t="shared" si="260"/>
        <v>0</v>
      </c>
      <c r="DC48" s="607">
        <f t="shared" si="260"/>
        <v>0</v>
      </c>
      <c r="DD48" s="607">
        <f t="shared" si="260"/>
        <v>0</v>
      </c>
      <c r="DE48" s="607">
        <f t="shared" si="260"/>
        <v>0</v>
      </c>
      <c r="DF48" s="607">
        <f t="shared" si="260"/>
        <v>45</v>
      </c>
      <c r="DG48" s="607">
        <f t="shared" si="260"/>
        <v>20</v>
      </c>
      <c r="DH48" s="607">
        <f t="shared" si="260"/>
        <v>0</v>
      </c>
      <c r="DI48" s="607">
        <f t="shared" si="260"/>
        <v>0</v>
      </c>
      <c r="DJ48" s="607">
        <f t="shared" si="260"/>
        <v>0</v>
      </c>
      <c r="DK48" s="607">
        <f t="shared" si="260"/>
        <v>0</v>
      </c>
      <c r="DL48" s="607">
        <f t="shared" si="260"/>
        <v>0</v>
      </c>
      <c r="DM48" s="607">
        <f t="shared" si="260"/>
        <v>0</v>
      </c>
      <c r="DN48" s="607">
        <f t="shared" si="260"/>
        <v>0</v>
      </c>
      <c r="DO48" s="607">
        <f t="shared" si="260"/>
        <v>0</v>
      </c>
      <c r="DP48" s="607">
        <f t="shared" si="260"/>
        <v>0</v>
      </c>
      <c r="DQ48" s="607">
        <f t="shared" si="260"/>
        <v>0</v>
      </c>
      <c r="DR48" s="607">
        <f t="shared" si="260"/>
        <v>0</v>
      </c>
      <c r="DS48" s="607">
        <f t="shared" si="260"/>
        <v>0</v>
      </c>
      <c r="DT48" s="607">
        <f t="shared" si="260"/>
        <v>0</v>
      </c>
      <c r="DU48" s="607">
        <f t="shared" si="260"/>
        <v>0</v>
      </c>
      <c r="DV48" s="607">
        <f t="shared" si="260"/>
        <v>0</v>
      </c>
      <c r="DW48" s="607">
        <f t="shared" si="260"/>
        <v>0</v>
      </c>
      <c r="DX48" s="607">
        <f t="shared" si="260"/>
        <v>0</v>
      </c>
      <c r="DY48" s="607">
        <f t="shared" si="260"/>
        <v>0</v>
      </c>
      <c r="DZ48" s="607">
        <f t="shared" si="260"/>
        <v>0</v>
      </c>
      <c r="EA48" s="607">
        <f t="shared" si="260"/>
        <v>0</v>
      </c>
      <c r="EB48" s="607">
        <f t="shared" si="260"/>
        <v>0</v>
      </c>
      <c r="EC48" s="607">
        <f t="shared" si="260"/>
        <v>0</v>
      </c>
      <c r="ED48" s="607">
        <f t="shared" si="260"/>
        <v>0</v>
      </c>
      <c r="EE48" s="607">
        <f t="shared" si="260"/>
        <v>0</v>
      </c>
      <c r="EF48" s="607">
        <f t="shared" si="260"/>
        <v>0</v>
      </c>
      <c r="EG48" s="607">
        <f t="shared" si="260"/>
        <v>0</v>
      </c>
      <c r="EH48" s="607">
        <f t="shared" si="260"/>
        <v>0</v>
      </c>
      <c r="EI48" s="607">
        <f t="shared" si="260"/>
        <v>0</v>
      </c>
      <c r="EJ48" s="607">
        <f t="shared" si="260"/>
        <v>0</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0</v>
      </c>
      <c r="EX48" s="476">
        <f t="shared" si="261"/>
        <v>0</v>
      </c>
      <c r="EY48" s="476">
        <f t="shared" si="261"/>
        <v>6</v>
      </c>
      <c r="EZ48" s="476">
        <f t="shared" si="261"/>
        <v>2</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24</v>
      </c>
      <c r="FY48" s="476">
        <f t="shared" si="261"/>
        <v>18</v>
      </c>
      <c r="FZ48" s="476">
        <f t="shared" si="261"/>
        <v>0</v>
      </c>
      <c r="GA48" s="476">
        <f t="shared" si="261"/>
        <v>0</v>
      </c>
      <c r="GB48" s="476">
        <f t="shared" si="261"/>
        <v>0</v>
      </c>
      <c r="GC48" s="476">
        <f t="shared" si="261"/>
        <v>0</v>
      </c>
      <c r="GD48" s="476">
        <f t="shared" si="261"/>
        <v>0</v>
      </c>
      <c r="GE48" s="476">
        <f t="shared" si="261"/>
        <v>0</v>
      </c>
      <c r="GF48" s="476">
        <f t="shared" si="261"/>
        <v>0</v>
      </c>
      <c r="GG48" s="476">
        <f t="shared" si="261"/>
        <v>0</v>
      </c>
      <c r="GH48" s="476">
        <f t="shared" si="261"/>
        <v>15</v>
      </c>
      <c r="GI48" s="476">
        <f t="shared" si="261"/>
        <v>0</v>
      </c>
      <c r="GJ48" s="476">
        <f t="shared" si="261"/>
        <v>0</v>
      </c>
      <c r="GK48" s="476">
        <f t="shared" si="261"/>
        <v>0</v>
      </c>
      <c r="GL48" s="476">
        <f t="shared" si="261"/>
        <v>0</v>
      </c>
      <c r="GM48" s="476">
        <f t="shared" si="261"/>
        <v>0</v>
      </c>
      <c r="GN48" s="476">
        <f t="shared" si="261"/>
        <v>0</v>
      </c>
      <c r="GO48" s="476">
        <f t="shared" si="261"/>
        <v>0</v>
      </c>
      <c r="GP48" s="476">
        <f t="shared" si="261"/>
        <v>0</v>
      </c>
      <c r="GQ48" s="476">
        <f t="shared" si="261"/>
        <v>0</v>
      </c>
      <c r="GR48" s="476">
        <f t="shared" si="261"/>
        <v>0</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0</v>
      </c>
      <c r="HB48" s="476">
        <f t="shared" si="261"/>
        <v>0</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0</v>
      </c>
      <c r="HL48" s="476">
        <f t="shared" si="262"/>
        <v>6</v>
      </c>
      <c r="HM48" s="476">
        <f t="shared" si="262"/>
        <v>2</v>
      </c>
      <c r="HN48" s="476">
        <f t="shared" si="262"/>
        <v>0</v>
      </c>
      <c r="HO48" s="476">
        <f t="shared" si="262"/>
        <v>0</v>
      </c>
      <c r="HP48" s="476">
        <f t="shared" si="262"/>
        <v>0</v>
      </c>
      <c r="HQ48" s="476">
        <f t="shared" si="262"/>
        <v>0</v>
      </c>
      <c r="HR48" s="476">
        <f t="shared" si="262"/>
        <v>0</v>
      </c>
      <c r="HS48" s="476">
        <f t="shared" si="262"/>
        <v>0</v>
      </c>
      <c r="HT48" s="476">
        <f t="shared" si="262"/>
        <v>0</v>
      </c>
      <c r="HU48" s="476">
        <f t="shared" si="262"/>
        <v>0</v>
      </c>
      <c r="HV48" s="476">
        <f t="shared" si="262"/>
        <v>0</v>
      </c>
      <c r="HW48" s="476">
        <f t="shared" si="262"/>
        <v>0</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0</v>
      </c>
      <c r="JE48" s="476">
        <f t="shared" si="262"/>
        <v>0</v>
      </c>
      <c r="JF48" s="476">
        <f t="shared" si="262"/>
        <v>0</v>
      </c>
      <c r="JG48" s="476">
        <f t="shared" si="262"/>
        <v>0</v>
      </c>
      <c r="JH48" s="476">
        <f t="shared" si="262"/>
        <v>0</v>
      </c>
      <c r="JI48" s="476">
        <f t="shared" si="262"/>
        <v>0</v>
      </c>
      <c r="JJ48" s="476">
        <f t="shared" si="262"/>
        <v>21</v>
      </c>
      <c r="JK48" s="476">
        <f t="shared" si="262"/>
        <v>2</v>
      </c>
      <c r="JL48" s="476">
        <f t="shared" si="262"/>
        <v>0</v>
      </c>
      <c r="JM48" s="476">
        <f t="shared" si="262"/>
        <v>0</v>
      </c>
      <c r="JN48" s="476">
        <f t="shared" si="262"/>
        <v>0</v>
      </c>
      <c r="JO48" s="476">
        <f t="shared" si="262"/>
        <v>24</v>
      </c>
      <c r="JP48" s="476">
        <f t="shared" si="262"/>
        <v>18</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822</v>
      </c>
      <c r="L49" s="127">
        <f>L48*12</f>
        <v>464856</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3030" t="s">
        <v>2638</v>
      </c>
      <c r="B51" s="3031"/>
      <c r="C51" s="3031"/>
      <c r="D51" s="3031"/>
      <c r="E51" s="3031"/>
      <c r="F51" s="3031"/>
      <c r="G51" s="3031"/>
      <c r="H51" s="3031"/>
      <c r="I51" s="3031"/>
      <c r="J51" s="3031"/>
      <c r="K51" s="3031"/>
      <c r="L51" s="3031"/>
      <c r="M51" s="3031"/>
      <c r="N51" s="3031"/>
      <c r="O51" s="3031"/>
      <c r="P51" s="3031"/>
      <c r="Q51" s="2321"/>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3031"/>
      <c r="B52" s="3031"/>
      <c r="C52" s="3031"/>
      <c r="D52" s="3031"/>
      <c r="E52" s="3031"/>
      <c r="F52" s="3031"/>
      <c r="G52" s="3031"/>
      <c r="H52" s="3031"/>
      <c r="I52" s="3031"/>
      <c r="J52" s="3031"/>
      <c r="K52" s="3031"/>
      <c r="L52" s="3031"/>
      <c r="M52" s="3031"/>
      <c r="N52" s="3031"/>
      <c r="O52" s="3031"/>
      <c r="P52" s="3031"/>
      <c r="Q52" s="2321"/>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45" customHeight="1">
      <c r="A53" s="14" t="s">
        <v>748</v>
      </c>
      <c r="B53" s="14" t="s">
        <v>539</v>
      </c>
      <c r="O53" s="85"/>
      <c r="R53" s="3071" t="str">
        <f>B53</f>
        <v>UNIT SUMMARY</v>
      </c>
      <c r="S53" s="3071"/>
      <c r="T53" s="3071"/>
      <c r="U53" s="3071"/>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45" customHeight="1">
      <c r="A55" s="14"/>
      <c r="B55" s="14" t="s">
        <v>1146</v>
      </c>
      <c r="H55" s="85"/>
      <c r="I55" s="85"/>
      <c r="J55" s="123" t="s">
        <v>573</v>
      </c>
      <c r="K55" s="123" t="s">
        <v>540</v>
      </c>
      <c r="L55" s="123" t="s">
        <v>541</v>
      </c>
      <c r="M55" s="123" t="s">
        <v>542</v>
      </c>
      <c r="N55" s="123" t="s">
        <v>543</v>
      </c>
      <c r="O55" s="123" t="s">
        <v>544</v>
      </c>
      <c r="R55" s="32" t="s">
        <v>1859</v>
      </c>
      <c r="S55" s="32"/>
      <c r="T55" s="493"/>
      <c r="W55" s="488"/>
      <c r="Z55" s="488"/>
      <c r="AA55" s="488"/>
      <c r="AB55" s="979"/>
      <c r="AC55" s="979"/>
      <c r="AD55" s="979"/>
      <c r="AE55" s="979"/>
      <c r="AF55" s="979"/>
      <c r="AG55" s="979"/>
      <c r="AH55" s="488"/>
      <c r="AI55" s="97"/>
      <c r="IL55" s="477"/>
      <c r="JA55" s="464"/>
    </row>
    <row r="56" spans="1:296" ht="12" customHeight="1">
      <c r="C56" s="97" t="s">
        <v>1147</v>
      </c>
      <c r="D56" s="1"/>
      <c r="E56" s="1"/>
      <c r="F56" s="1"/>
      <c r="G56" s="85"/>
      <c r="H56" s="37" t="s">
        <v>1159</v>
      </c>
      <c r="I56" s="85"/>
      <c r="J56" s="1029">
        <f>W48</f>
        <v>0</v>
      </c>
      <c r="K56" s="1029">
        <f>X48</f>
        <v>0</v>
      </c>
      <c r="L56" s="1029">
        <f>Y48</f>
        <v>28</v>
      </c>
      <c r="M56" s="1029">
        <f>Z48</f>
        <v>12</v>
      </c>
      <c r="N56" s="1029">
        <f>AA48</f>
        <v>0</v>
      </c>
      <c r="O56" s="1029">
        <f t="shared" ref="O56:O62" si="263">SUM(J56:N56)</f>
        <v>40</v>
      </c>
      <c r="P56" s="3022" t="s">
        <v>3696</v>
      </c>
      <c r="Q56" s="1594"/>
      <c r="R56" s="3034"/>
      <c r="S56" s="3074"/>
      <c r="T56" s="3074"/>
      <c r="U56" s="3074"/>
      <c r="V56" s="3035"/>
      <c r="W56" s="490"/>
      <c r="Z56" s="490"/>
      <c r="AA56" s="53"/>
      <c r="AB56" s="604"/>
      <c r="AC56" s="604"/>
      <c r="AD56" s="604"/>
      <c r="AE56" s="604"/>
      <c r="AF56" s="604"/>
      <c r="AG56" s="604"/>
      <c r="AH56" s="53"/>
      <c r="AI56" s="97"/>
      <c r="IL56" s="477"/>
      <c r="JA56" s="464"/>
    </row>
    <row r="57" spans="1:296" ht="12" customHeight="1">
      <c r="A57" s="3023" t="s">
        <v>444</v>
      </c>
      <c r="B57" s="3023"/>
      <c r="C57" s="4"/>
      <c r="D57" s="1"/>
      <c r="E57" s="1"/>
      <c r="F57" s="1"/>
      <c r="G57" s="85"/>
      <c r="H57" s="37" t="s">
        <v>119</v>
      </c>
      <c r="I57" s="85"/>
      <c r="J57" s="636">
        <f>AB48</f>
        <v>0</v>
      </c>
      <c r="K57" s="636">
        <f>AC48</f>
        <v>0</v>
      </c>
      <c r="L57" s="636">
        <f>AD48</f>
        <v>17</v>
      </c>
      <c r="M57" s="636">
        <f>AE48</f>
        <v>8</v>
      </c>
      <c r="N57" s="636">
        <f>AF48</f>
        <v>0</v>
      </c>
      <c r="O57" s="636">
        <f t="shared" si="263"/>
        <v>25</v>
      </c>
      <c r="P57" s="3022"/>
      <c r="Q57" s="1594"/>
      <c r="R57" s="3027"/>
      <c r="S57" s="3073"/>
      <c r="T57" s="3073"/>
      <c r="U57" s="3073"/>
      <c r="V57" s="3028"/>
      <c r="W57" s="10"/>
      <c r="Z57" s="490"/>
      <c r="AA57" s="53"/>
      <c r="AB57" s="604"/>
      <c r="AC57" s="604"/>
      <c r="AD57" s="604"/>
      <c r="AE57" s="604"/>
      <c r="AF57" s="604"/>
      <c r="AG57" s="604"/>
      <c r="AH57" s="53"/>
      <c r="AI57" s="97"/>
      <c r="IL57" s="477"/>
      <c r="JA57" s="464"/>
    </row>
    <row r="58" spans="1:296" ht="12" customHeight="1">
      <c r="A58" s="3023"/>
      <c r="B58" s="3023"/>
      <c r="C58" s="4"/>
      <c r="D58" s="1"/>
      <c r="E58" s="1"/>
      <c r="F58" s="1"/>
      <c r="G58" s="85"/>
      <c r="H58" s="37" t="s">
        <v>544</v>
      </c>
      <c r="I58" s="85"/>
      <c r="J58" s="632">
        <f>SUM(J56:J57)</f>
        <v>0</v>
      </c>
      <c r="K58" s="632">
        <f>SUM(K56:K57)</f>
        <v>0</v>
      </c>
      <c r="L58" s="632">
        <f>SUM(L56:L57)</f>
        <v>45</v>
      </c>
      <c r="M58" s="632">
        <f>SUM(M56:M57)</f>
        <v>20</v>
      </c>
      <c r="N58" s="632">
        <f>SUM(N56:N57)</f>
        <v>0</v>
      </c>
      <c r="O58" s="632">
        <f t="shared" si="263"/>
        <v>65</v>
      </c>
      <c r="P58" s="3022"/>
      <c r="R58" s="3027"/>
      <c r="S58" s="3073"/>
      <c r="T58" s="3073"/>
      <c r="U58" s="3073"/>
      <c r="V58" s="3028"/>
      <c r="W58" s="10"/>
      <c r="Z58" s="490"/>
      <c r="AA58" s="53"/>
      <c r="AB58" s="604"/>
      <c r="AC58" s="604"/>
      <c r="AD58" s="604"/>
      <c r="AE58" s="604"/>
      <c r="AF58" s="604"/>
      <c r="AG58" s="604"/>
      <c r="AH58" s="53"/>
      <c r="AI58" s="97"/>
      <c r="IL58" s="477"/>
      <c r="JA58" s="464"/>
    </row>
    <row r="59" spans="1:296" ht="12" customHeight="1">
      <c r="A59" s="3023"/>
      <c r="B59" s="3023"/>
      <c r="C59" s="97" t="s">
        <v>305</v>
      </c>
      <c r="D59" s="1"/>
      <c r="E59" s="1"/>
      <c r="F59" s="1"/>
      <c r="G59" s="85"/>
      <c r="H59" s="37"/>
      <c r="I59" s="85"/>
      <c r="J59" s="633">
        <f>AL48</f>
        <v>0</v>
      </c>
      <c r="K59" s="633">
        <f>AM48</f>
        <v>0</v>
      </c>
      <c r="L59" s="633">
        <f>AN48</f>
        <v>0</v>
      </c>
      <c r="M59" s="633">
        <f>AO48</f>
        <v>0</v>
      </c>
      <c r="N59" s="633">
        <f>AP48</f>
        <v>0</v>
      </c>
      <c r="O59" s="633">
        <f t="shared" si="263"/>
        <v>0</v>
      </c>
      <c r="R59" s="3027"/>
      <c r="S59" s="3073"/>
      <c r="T59" s="3073"/>
      <c r="U59" s="3073"/>
      <c r="V59" s="3028"/>
      <c r="W59" s="97"/>
      <c r="Z59" s="490"/>
      <c r="AA59" s="53"/>
      <c r="AB59" s="604"/>
      <c r="AC59" s="604"/>
      <c r="AD59" s="604"/>
      <c r="AE59" s="604"/>
      <c r="AF59" s="604"/>
      <c r="AG59" s="604"/>
      <c r="AH59" s="430"/>
      <c r="AI59" s="97"/>
      <c r="IL59" s="477"/>
      <c r="JA59" s="464"/>
    </row>
    <row r="60" spans="1:296" ht="12" customHeight="1">
      <c r="A60" s="3023"/>
      <c r="B60" s="3023"/>
      <c r="C60" s="97" t="s">
        <v>1148</v>
      </c>
      <c r="D60" s="1"/>
      <c r="E60" s="1"/>
      <c r="F60" s="1"/>
      <c r="G60" s="85"/>
      <c r="H60" s="37"/>
      <c r="I60" s="85"/>
      <c r="J60" s="632">
        <f>SUM(J58:J59)</f>
        <v>0</v>
      </c>
      <c r="K60" s="632">
        <f>SUM(K58:K59)</f>
        <v>0</v>
      </c>
      <c r="L60" s="632">
        <f>SUM(L58:L59)</f>
        <v>45</v>
      </c>
      <c r="M60" s="632">
        <f>SUM(M58:M59)</f>
        <v>20</v>
      </c>
      <c r="N60" s="632">
        <f>SUM(N58:N59)</f>
        <v>0</v>
      </c>
      <c r="O60" s="632">
        <f t="shared" si="263"/>
        <v>65</v>
      </c>
      <c r="R60" s="3027"/>
      <c r="S60" s="3073"/>
      <c r="T60" s="3073"/>
      <c r="U60" s="3073"/>
      <c r="V60" s="3028"/>
      <c r="W60" s="490"/>
      <c r="Z60" s="490"/>
      <c r="AA60" s="53"/>
      <c r="AB60" s="604"/>
      <c r="AC60" s="604"/>
      <c r="AD60" s="604"/>
      <c r="AE60" s="604"/>
      <c r="AF60" s="604"/>
      <c r="AG60" s="604"/>
      <c r="AH60" s="430"/>
      <c r="AI60" s="97"/>
      <c r="IL60" s="477"/>
      <c r="JA60" s="464"/>
    </row>
    <row r="61" spans="1:296" ht="12" customHeight="1">
      <c r="A61" s="3023"/>
      <c r="B61" s="3023"/>
      <c r="C61" s="97" t="s">
        <v>2528</v>
      </c>
      <c r="D61" s="1"/>
      <c r="E61" s="1"/>
      <c r="F61" s="1"/>
      <c r="G61" s="85"/>
      <c r="H61" s="37"/>
      <c r="I61" s="85"/>
      <c r="J61" s="633">
        <f>BU48</f>
        <v>0</v>
      </c>
      <c r="K61" s="633">
        <f>BV48</f>
        <v>0</v>
      </c>
      <c r="L61" s="633">
        <f>BW48</f>
        <v>0</v>
      </c>
      <c r="M61" s="633">
        <f>BX48</f>
        <v>0</v>
      </c>
      <c r="N61" s="633">
        <f>BY48</f>
        <v>0</v>
      </c>
      <c r="O61" s="633">
        <f t="shared" si="263"/>
        <v>0</v>
      </c>
      <c r="P61" s="517" t="s">
        <v>3697</v>
      </c>
      <c r="R61" s="3027"/>
      <c r="S61" s="3073"/>
      <c r="T61" s="3073"/>
      <c r="U61" s="3073"/>
      <c r="V61" s="3028"/>
      <c r="W61" s="490"/>
      <c r="Z61" s="490"/>
      <c r="AA61" s="53"/>
      <c r="AB61" s="604"/>
      <c r="AC61" s="604"/>
      <c r="AD61" s="604"/>
      <c r="AE61" s="604"/>
      <c r="AF61" s="604"/>
      <c r="AG61" s="604"/>
      <c r="AH61" s="53"/>
      <c r="AI61" s="97"/>
      <c r="IL61" s="477"/>
      <c r="JA61" s="464"/>
    </row>
    <row r="62" spans="1:296" ht="12" customHeight="1">
      <c r="A62" s="3023"/>
      <c r="B62" s="3023"/>
      <c r="C62" s="97" t="s">
        <v>544</v>
      </c>
      <c r="D62" s="1"/>
      <c r="E62" s="1"/>
      <c r="F62" s="1"/>
      <c r="G62" s="85"/>
      <c r="H62" s="37"/>
      <c r="I62" s="85"/>
      <c r="J62" s="634">
        <f>SUM(J60:J61)</f>
        <v>0</v>
      </c>
      <c r="K62" s="634">
        <f>SUM(K60:K61)</f>
        <v>0</v>
      </c>
      <c r="L62" s="634">
        <f>SUM(L60:L61)</f>
        <v>45</v>
      </c>
      <c r="M62" s="634">
        <f>SUM(M60:M61)</f>
        <v>20</v>
      </c>
      <c r="N62" s="634">
        <f>SUM(N60:N61)</f>
        <v>0</v>
      </c>
      <c r="O62" s="634">
        <f t="shared" si="263"/>
        <v>65</v>
      </c>
      <c r="R62" s="3069"/>
      <c r="S62" s="3072"/>
      <c r="T62" s="3072"/>
      <c r="U62" s="3072"/>
      <c r="V62" s="3070"/>
      <c r="W62" s="490"/>
      <c r="Z62" s="490"/>
      <c r="AA62" s="53"/>
      <c r="AB62" s="604"/>
      <c r="AC62" s="604"/>
      <c r="AD62" s="604"/>
      <c r="AE62" s="604"/>
      <c r="AF62" s="604"/>
      <c r="AG62" s="604"/>
      <c r="AH62" s="488"/>
      <c r="AI62" s="97"/>
      <c r="IL62" s="477"/>
      <c r="JA62" s="464"/>
    </row>
    <row r="63" spans="1:296" ht="9" customHeight="1">
      <c r="A63" s="3023"/>
      <c r="B63" s="3023"/>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3023"/>
      <c r="B64" s="3023"/>
      <c r="C64" s="97" t="s">
        <v>943</v>
      </c>
      <c r="D64" s="1"/>
      <c r="E64" s="113"/>
      <c r="F64" s="1"/>
      <c r="G64" s="85"/>
      <c r="H64" s="37" t="s">
        <v>1159</v>
      </c>
      <c r="I64" s="85"/>
      <c r="J64" s="1029">
        <f>BA48</f>
        <v>0</v>
      </c>
      <c r="K64" s="1029">
        <f>BB48</f>
        <v>0</v>
      </c>
      <c r="L64" s="1029">
        <f>BC48</f>
        <v>0</v>
      </c>
      <c r="M64" s="1029">
        <f>BD48</f>
        <v>0</v>
      </c>
      <c r="N64" s="1029">
        <f>BE48</f>
        <v>0</v>
      </c>
      <c r="O64" s="1029">
        <f>SUM(J64:N64)</f>
        <v>0</v>
      </c>
      <c r="R64" s="3034"/>
      <c r="S64" s="3074"/>
      <c r="T64" s="3074"/>
      <c r="U64" s="3074"/>
      <c r="V64" s="3035"/>
      <c r="W64" s="490"/>
      <c r="Z64" s="490"/>
      <c r="AA64" s="53"/>
      <c r="AB64" s="604"/>
      <c r="AC64" s="604"/>
      <c r="AD64" s="604"/>
      <c r="AE64" s="604"/>
      <c r="AF64" s="604"/>
      <c r="AG64" s="604"/>
      <c r="AH64" s="53"/>
      <c r="AI64" s="97"/>
      <c r="IL64" s="477"/>
      <c r="JA64" s="464"/>
    </row>
    <row r="65" spans="1:261" ht="12" customHeight="1">
      <c r="A65" s="3023"/>
      <c r="B65" s="3023"/>
      <c r="C65" s="37" t="s">
        <v>2529</v>
      </c>
      <c r="D65" s="1"/>
      <c r="E65" s="113"/>
      <c r="F65" s="1"/>
      <c r="G65" s="85"/>
      <c r="H65" s="37" t="s">
        <v>119</v>
      </c>
      <c r="I65" s="85"/>
      <c r="J65" s="636">
        <f>AV48</f>
        <v>0</v>
      </c>
      <c r="K65" s="636">
        <f>AW48</f>
        <v>0</v>
      </c>
      <c r="L65" s="636">
        <f>AX48</f>
        <v>17</v>
      </c>
      <c r="M65" s="636">
        <f>AY48</f>
        <v>8</v>
      </c>
      <c r="N65" s="636">
        <f>AZ48</f>
        <v>0</v>
      </c>
      <c r="O65" s="636">
        <f>SUM(J65:N65)</f>
        <v>25</v>
      </c>
      <c r="R65" s="3027"/>
      <c r="S65" s="3073"/>
      <c r="T65" s="3073"/>
      <c r="U65" s="3073"/>
      <c r="V65" s="3028"/>
      <c r="W65" s="53"/>
      <c r="Z65" s="490"/>
      <c r="AA65" s="53"/>
      <c r="AB65" s="604"/>
      <c r="AC65" s="604"/>
      <c r="AD65" s="604"/>
      <c r="AE65" s="604"/>
      <c r="AF65" s="604"/>
      <c r="AG65" s="604"/>
      <c r="AH65" s="53"/>
      <c r="AI65" s="97"/>
      <c r="IL65" s="477"/>
      <c r="JA65" s="464"/>
    </row>
    <row r="66" spans="1:261" ht="12" customHeight="1">
      <c r="A66" s="3023"/>
      <c r="B66" s="3023"/>
      <c r="C66" s="4"/>
      <c r="D66" s="1"/>
      <c r="E66" s="113"/>
      <c r="F66" s="1"/>
      <c r="G66" s="85"/>
      <c r="H66" s="37" t="s">
        <v>544</v>
      </c>
      <c r="I66" s="85"/>
      <c r="J66" s="634">
        <f>SUM(J64:J65)</f>
        <v>0</v>
      </c>
      <c r="K66" s="634">
        <f>SUM(K64:K65)</f>
        <v>0</v>
      </c>
      <c r="L66" s="634">
        <f>SUM(L64:L65)</f>
        <v>17</v>
      </c>
      <c r="M66" s="634">
        <f>SUM(M64:M65)</f>
        <v>8</v>
      </c>
      <c r="N66" s="634">
        <f>SUM(N64:N65)</f>
        <v>0</v>
      </c>
      <c r="O66" s="634">
        <f>SUM(J66:N66)</f>
        <v>25</v>
      </c>
      <c r="R66" s="3069"/>
      <c r="S66" s="3072"/>
      <c r="T66" s="3072"/>
      <c r="U66" s="3072"/>
      <c r="V66" s="3070"/>
      <c r="W66" s="10"/>
      <c r="Z66" s="490"/>
      <c r="AA66" s="53"/>
      <c r="AB66" s="604"/>
      <c r="AC66" s="604"/>
      <c r="AD66" s="604"/>
      <c r="AE66" s="604"/>
      <c r="AF66" s="604"/>
      <c r="AG66" s="604"/>
      <c r="AH66" s="53"/>
      <c r="AI66" s="97"/>
      <c r="IL66" s="477"/>
      <c r="JA66" s="464"/>
    </row>
    <row r="67" spans="1:261" ht="9" customHeight="1">
      <c r="A67" s="3023"/>
      <c r="B67" s="3023"/>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3023"/>
      <c r="B68" s="3023"/>
      <c r="C68" s="3024" t="s">
        <v>899</v>
      </c>
      <c r="D68" s="3024"/>
      <c r="E68" s="3024"/>
      <c r="F68" s="1"/>
      <c r="G68" s="85"/>
      <c r="H68" s="37" t="s">
        <v>1159</v>
      </c>
      <c r="I68" s="85"/>
      <c r="J68" s="1029">
        <f>BP48</f>
        <v>0</v>
      </c>
      <c r="K68" s="1029">
        <f>BQ48</f>
        <v>0</v>
      </c>
      <c r="L68" s="1029">
        <f>BR48</f>
        <v>0</v>
      </c>
      <c r="M68" s="1029">
        <f>BS48</f>
        <v>0</v>
      </c>
      <c r="N68" s="1029">
        <f>BT48</f>
        <v>0</v>
      </c>
      <c r="O68" s="1029">
        <f>SUM(J68:N68)</f>
        <v>0</v>
      </c>
      <c r="R68" s="3034"/>
      <c r="S68" s="3074"/>
      <c r="T68" s="3074"/>
      <c r="U68" s="3074"/>
      <c r="V68" s="3035"/>
      <c r="W68" s="97"/>
      <c r="Z68" s="490"/>
      <c r="AA68" s="53"/>
      <c r="AB68" s="604"/>
      <c r="AC68" s="604"/>
      <c r="AD68" s="604"/>
      <c r="AE68" s="604"/>
      <c r="AF68" s="604"/>
      <c r="AG68" s="604"/>
      <c r="AH68" s="53"/>
      <c r="AI68" s="97"/>
      <c r="IL68" s="477"/>
      <c r="JA68" s="464"/>
    </row>
    <row r="69" spans="1:261" ht="12" customHeight="1">
      <c r="A69" s="3023"/>
      <c r="B69" s="3023"/>
      <c r="C69" s="3024"/>
      <c r="D69" s="3024"/>
      <c r="E69" s="3024"/>
      <c r="F69" s="1"/>
      <c r="G69" s="85"/>
      <c r="H69" s="37" t="s">
        <v>119</v>
      </c>
      <c r="I69" s="85"/>
      <c r="J69" s="636">
        <f>BK48</f>
        <v>0</v>
      </c>
      <c r="K69" s="636">
        <f>BL48</f>
        <v>0</v>
      </c>
      <c r="L69" s="636">
        <f>BM48</f>
        <v>0</v>
      </c>
      <c r="M69" s="636">
        <f>BN48</f>
        <v>0</v>
      </c>
      <c r="N69" s="636">
        <f>BO48</f>
        <v>0</v>
      </c>
      <c r="O69" s="636">
        <f>SUM(J69:N69)</f>
        <v>0</v>
      </c>
      <c r="R69" s="3027"/>
      <c r="S69" s="3073"/>
      <c r="T69" s="3073"/>
      <c r="U69" s="3073"/>
      <c r="V69" s="3028"/>
      <c r="W69" s="37"/>
      <c r="Z69" s="490"/>
      <c r="AA69" s="53"/>
      <c r="AB69" s="604"/>
      <c r="AC69" s="604"/>
      <c r="AD69" s="604"/>
      <c r="AE69" s="604"/>
      <c r="AF69" s="604"/>
      <c r="AG69" s="604"/>
      <c r="AH69" s="53"/>
      <c r="AI69" s="97"/>
      <c r="IL69" s="477"/>
      <c r="JA69" s="464"/>
    </row>
    <row r="70" spans="1:261" ht="12" customHeight="1">
      <c r="A70" s="3023"/>
      <c r="B70" s="3023"/>
      <c r="C70" s="37" t="s">
        <v>2529</v>
      </c>
      <c r="D70" s="1"/>
      <c r="E70" s="113"/>
      <c r="F70" s="1"/>
      <c r="G70" s="85"/>
      <c r="H70" s="37" t="s">
        <v>544</v>
      </c>
      <c r="I70" s="85"/>
      <c r="J70" s="634">
        <f>SUM(J68:J69)</f>
        <v>0</v>
      </c>
      <c r="K70" s="634">
        <f>SUM(K68:K69)</f>
        <v>0</v>
      </c>
      <c r="L70" s="634">
        <f>SUM(L68:L69)</f>
        <v>0</v>
      </c>
      <c r="M70" s="634">
        <f>SUM(M68:M69)</f>
        <v>0</v>
      </c>
      <c r="N70" s="634">
        <f>SUM(N68:N69)</f>
        <v>0</v>
      </c>
      <c r="O70" s="634">
        <f>SUM(J70:N70)</f>
        <v>0</v>
      </c>
      <c r="R70" s="3069"/>
      <c r="S70" s="3072"/>
      <c r="T70" s="3072"/>
      <c r="U70" s="3072"/>
      <c r="V70" s="3070"/>
      <c r="W70" s="10"/>
      <c r="Z70" s="490"/>
      <c r="AA70" s="53"/>
      <c r="AB70" s="604"/>
      <c r="AC70" s="604"/>
      <c r="AD70" s="604"/>
      <c r="AE70" s="604"/>
      <c r="AF70" s="604"/>
      <c r="AG70" s="604"/>
      <c r="AH70" s="53"/>
      <c r="AI70" s="97"/>
      <c r="IL70" s="477"/>
      <c r="JA70" s="464"/>
    </row>
    <row r="71" spans="1:261" ht="9" customHeight="1">
      <c r="A71" s="3023"/>
      <c r="B71" s="3023"/>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3023"/>
      <c r="B72" s="3023"/>
      <c r="C72" s="3025" t="s">
        <v>39</v>
      </c>
      <c r="D72" s="3025"/>
      <c r="E72" s="106" t="s">
        <v>2311</v>
      </c>
      <c r="F72" s="1"/>
      <c r="G72" s="85"/>
      <c r="H72" s="37" t="s">
        <v>1444</v>
      </c>
      <c r="I72" s="85"/>
      <c r="J72" s="632">
        <f>DD48</f>
        <v>0</v>
      </c>
      <c r="K72" s="632">
        <f>DE48</f>
        <v>0</v>
      </c>
      <c r="L72" s="632">
        <f>DF48</f>
        <v>45</v>
      </c>
      <c r="M72" s="632">
        <f>DG48</f>
        <v>20</v>
      </c>
      <c r="N72" s="632">
        <f>DH48</f>
        <v>0</v>
      </c>
      <c r="O72" s="632">
        <f t="shared" ref="O72:O82" si="264">SUM(J72:N72)</f>
        <v>65</v>
      </c>
      <c r="R72" s="3034"/>
      <c r="S72" s="3074"/>
      <c r="T72" s="3074"/>
      <c r="U72" s="3074"/>
      <c r="V72" s="3035"/>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3023"/>
      <c r="B73" s="3023"/>
      <c r="C73" s="3025"/>
      <c r="D73" s="3025"/>
      <c r="E73" s="113"/>
      <c r="F73" s="1"/>
      <c r="G73" s="85"/>
      <c r="H73" s="37" t="s">
        <v>305</v>
      </c>
      <c r="I73" s="85"/>
      <c r="J73" s="633">
        <f>DI48</f>
        <v>0</v>
      </c>
      <c r="K73" s="633">
        <f>DJ48</f>
        <v>0</v>
      </c>
      <c r="L73" s="633">
        <f>DK48</f>
        <v>0</v>
      </c>
      <c r="M73" s="633">
        <f>DL48</f>
        <v>0</v>
      </c>
      <c r="N73" s="633">
        <f>DM48</f>
        <v>0</v>
      </c>
      <c r="O73" s="633">
        <f t="shared" si="264"/>
        <v>0</v>
      </c>
      <c r="R73" s="3027"/>
      <c r="S73" s="3073"/>
      <c r="T73" s="3073"/>
      <c r="U73" s="3073"/>
      <c r="V73" s="3028"/>
      <c r="W73" s="490"/>
      <c r="Z73" s="490"/>
      <c r="AA73" s="53"/>
      <c r="AB73" s="604"/>
      <c r="AC73" s="604"/>
      <c r="AD73" s="604"/>
      <c r="AE73" s="604"/>
      <c r="AF73" s="604"/>
      <c r="AG73" s="604"/>
      <c r="AH73" s="430"/>
      <c r="AI73" s="97"/>
      <c r="IL73" s="477"/>
      <c r="JA73" s="464"/>
    </row>
    <row r="74" spans="1:261" ht="12" customHeight="1">
      <c r="A74" s="3023"/>
      <c r="B74" s="3023"/>
      <c r="C74" s="3025"/>
      <c r="D74" s="3025"/>
      <c r="E74" s="113"/>
      <c r="F74" s="1"/>
      <c r="G74" s="85"/>
      <c r="H74" s="37" t="s">
        <v>32</v>
      </c>
      <c r="I74" s="85"/>
      <c r="J74" s="634">
        <f>SUM(J72:J73)+DN48</f>
        <v>0</v>
      </c>
      <c r="K74" s="634">
        <f>SUM(K72:K73)+DO48</f>
        <v>0</v>
      </c>
      <c r="L74" s="634">
        <f>SUM(L72:L73)+DP48</f>
        <v>45</v>
      </c>
      <c r="M74" s="634">
        <f>SUM(M72:M73)+DQ48</f>
        <v>20</v>
      </c>
      <c r="N74" s="634">
        <f>SUM(N72:N73)+DR48</f>
        <v>0</v>
      </c>
      <c r="O74" s="634">
        <f t="shared" si="264"/>
        <v>65</v>
      </c>
      <c r="R74" s="3027"/>
      <c r="S74" s="3073"/>
      <c r="T74" s="3073"/>
      <c r="U74" s="3073"/>
      <c r="V74" s="3028"/>
      <c r="W74" s="10"/>
      <c r="Z74" s="490"/>
      <c r="AA74" s="37"/>
      <c r="AB74" s="604"/>
      <c r="AC74" s="604"/>
      <c r="AD74" s="604"/>
      <c r="AE74" s="604"/>
      <c r="AF74" s="604"/>
      <c r="AG74" s="604"/>
      <c r="AH74" s="53"/>
      <c r="AI74" s="97"/>
      <c r="IL74" s="477"/>
      <c r="JA74" s="464"/>
    </row>
    <row r="75" spans="1:261" ht="12" customHeight="1">
      <c r="A75" s="3023"/>
      <c r="B75" s="3023"/>
      <c r="C75" s="3025"/>
      <c r="D75" s="3025"/>
      <c r="E75" s="106" t="s">
        <v>2153</v>
      </c>
      <c r="F75" s="1"/>
      <c r="G75" s="85"/>
      <c r="H75" s="37" t="s">
        <v>1444</v>
      </c>
      <c r="I75" s="85"/>
      <c r="J75" s="632">
        <f>DS48</f>
        <v>0</v>
      </c>
      <c r="K75" s="632">
        <f>DT48</f>
        <v>0</v>
      </c>
      <c r="L75" s="632">
        <f>DU48</f>
        <v>0</v>
      </c>
      <c r="M75" s="632">
        <f>DV48</f>
        <v>0</v>
      </c>
      <c r="N75" s="632">
        <f>DW48</f>
        <v>0</v>
      </c>
      <c r="O75" s="632">
        <f t="shared" si="264"/>
        <v>0</v>
      </c>
      <c r="R75" s="3027"/>
      <c r="S75" s="3073"/>
      <c r="T75" s="3073"/>
      <c r="U75" s="3073"/>
      <c r="V75" s="3028"/>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3023"/>
      <c r="B76" s="3023"/>
      <c r="C76" s="3025"/>
      <c r="D76" s="3025"/>
      <c r="E76" s="113"/>
      <c r="F76" s="1"/>
      <c r="G76" s="85"/>
      <c r="H76" s="37" t="s">
        <v>305</v>
      </c>
      <c r="I76" s="85"/>
      <c r="J76" s="633">
        <f>DX48</f>
        <v>0</v>
      </c>
      <c r="K76" s="633">
        <f>DY48</f>
        <v>0</v>
      </c>
      <c r="L76" s="633">
        <f>DZ48</f>
        <v>0</v>
      </c>
      <c r="M76" s="633">
        <f>EA48</f>
        <v>0</v>
      </c>
      <c r="N76" s="633">
        <f>EB48</f>
        <v>0</v>
      </c>
      <c r="O76" s="633">
        <f t="shared" si="264"/>
        <v>0</v>
      </c>
      <c r="R76" s="3027"/>
      <c r="S76" s="3073"/>
      <c r="T76" s="3073"/>
      <c r="U76" s="3073"/>
      <c r="V76" s="3028"/>
      <c r="W76" s="490"/>
      <c r="Z76" s="490"/>
      <c r="AA76" s="53"/>
      <c r="AB76" s="604"/>
      <c r="AC76" s="604"/>
      <c r="AD76" s="604"/>
      <c r="AE76" s="604"/>
      <c r="AF76" s="604"/>
      <c r="AG76" s="604"/>
      <c r="AH76" s="430"/>
      <c r="AI76" s="97"/>
      <c r="IL76" s="477"/>
      <c r="JA76" s="464"/>
    </row>
    <row r="77" spans="1:261" ht="12" customHeight="1">
      <c r="A77" s="3023"/>
      <c r="B77" s="3023"/>
      <c r="C77" s="3025"/>
      <c r="D77" s="3025"/>
      <c r="E77" s="113"/>
      <c r="F77" s="1"/>
      <c r="G77" s="85"/>
      <c r="H77" s="37" t="s">
        <v>32</v>
      </c>
      <c r="I77" s="85"/>
      <c r="J77" s="634">
        <f>SUM(J75:J76)+EC48</f>
        <v>0</v>
      </c>
      <c r="K77" s="634">
        <f>SUM(K75:K76)+ED48</f>
        <v>0</v>
      </c>
      <c r="L77" s="634">
        <f>SUM(L75:L76)+EE48</f>
        <v>0</v>
      </c>
      <c r="M77" s="634">
        <f>SUM(M75:M76)+EF48</f>
        <v>0</v>
      </c>
      <c r="N77" s="634">
        <f>SUM(N75:N76)+EG48</f>
        <v>0</v>
      </c>
      <c r="O77" s="634">
        <f t="shared" si="264"/>
        <v>0</v>
      </c>
      <c r="R77" s="3027"/>
      <c r="S77" s="3073"/>
      <c r="T77" s="3073"/>
      <c r="U77" s="3073"/>
      <c r="V77" s="3028"/>
      <c r="W77" s="10"/>
      <c r="Z77" s="490"/>
      <c r="AA77" s="37"/>
      <c r="AB77" s="604"/>
      <c r="AC77" s="604"/>
      <c r="AD77" s="604"/>
      <c r="AE77" s="604"/>
      <c r="AF77" s="604"/>
      <c r="AG77" s="604"/>
      <c r="AH77" s="53"/>
      <c r="AI77" s="97"/>
      <c r="IL77" s="477"/>
      <c r="JA77" s="464"/>
    </row>
    <row r="78" spans="1:261" ht="12" customHeight="1">
      <c r="A78" s="3023"/>
      <c r="B78" s="3023"/>
      <c r="C78" s="975"/>
      <c r="D78" s="1"/>
      <c r="E78" s="3026" t="s">
        <v>1431</v>
      </c>
      <c r="F78" s="3026"/>
      <c r="G78" s="85"/>
      <c r="H78" s="37" t="s">
        <v>1444</v>
      </c>
      <c r="I78" s="85"/>
      <c r="J78" s="632">
        <f>EH48</f>
        <v>0</v>
      </c>
      <c r="K78" s="632">
        <f>EI48</f>
        <v>0</v>
      </c>
      <c r="L78" s="632">
        <f>EJ48</f>
        <v>0</v>
      </c>
      <c r="M78" s="632">
        <f>EK48</f>
        <v>0</v>
      </c>
      <c r="N78" s="632">
        <f>EL48</f>
        <v>0</v>
      </c>
      <c r="O78" s="632">
        <f t="shared" si="264"/>
        <v>0</v>
      </c>
      <c r="R78" s="3027"/>
      <c r="S78" s="3073"/>
      <c r="T78" s="3073"/>
      <c r="U78" s="3073"/>
      <c r="V78" s="3028"/>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3023"/>
      <c r="B79" s="3023"/>
      <c r="C79" s="975"/>
      <c r="D79" s="1"/>
      <c r="E79" s="3026"/>
      <c r="F79" s="3026"/>
      <c r="G79" s="85"/>
      <c r="H79" s="37" t="s">
        <v>305</v>
      </c>
      <c r="I79" s="85"/>
      <c r="J79" s="633">
        <f>EM48</f>
        <v>0</v>
      </c>
      <c r="K79" s="633">
        <f>EN48</f>
        <v>0</v>
      </c>
      <c r="L79" s="633">
        <f>EO48</f>
        <v>0</v>
      </c>
      <c r="M79" s="633">
        <f>EP48</f>
        <v>0</v>
      </c>
      <c r="N79" s="633">
        <f>EQ48</f>
        <v>0</v>
      </c>
      <c r="O79" s="633">
        <f t="shared" si="264"/>
        <v>0</v>
      </c>
      <c r="R79" s="3027"/>
      <c r="S79" s="3073"/>
      <c r="T79" s="3073"/>
      <c r="U79" s="3073"/>
      <c r="V79" s="3028"/>
      <c r="W79" s="490"/>
      <c r="Z79" s="490"/>
      <c r="AA79" s="53"/>
      <c r="AB79" s="604"/>
      <c r="AC79" s="604"/>
      <c r="AD79" s="604"/>
      <c r="AE79" s="604"/>
      <c r="AF79" s="604"/>
      <c r="AG79" s="604"/>
      <c r="AH79" s="430"/>
      <c r="AI79" s="97"/>
      <c r="IL79" s="477"/>
      <c r="JA79" s="464"/>
    </row>
    <row r="80" spans="1:261" ht="12" customHeight="1">
      <c r="A80" s="3023"/>
      <c r="B80" s="3023"/>
      <c r="C80" s="975"/>
      <c r="D80" s="1"/>
      <c r="E80" s="113"/>
      <c r="F80" s="1"/>
      <c r="G80" s="85"/>
      <c r="H80" s="37" t="s">
        <v>32</v>
      </c>
      <c r="I80" s="85"/>
      <c r="J80" s="634">
        <f>SUM(J78:J79)+ER48</f>
        <v>0</v>
      </c>
      <c r="K80" s="634">
        <f>SUM(K78:K79)+ES48</f>
        <v>0</v>
      </c>
      <c r="L80" s="634">
        <f>SUM(L78:L79)+ET48</f>
        <v>0</v>
      </c>
      <c r="M80" s="634">
        <f>SUM(M78:M79)+EU48</f>
        <v>0</v>
      </c>
      <c r="N80" s="634">
        <f>SUM(N78:N79)+EV48</f>
        <v>0</v>
      </c>
      <c r="O80" s="634">
        <f t="shared" si="264"/>
        <v>0</v>
      </c>
      <c r="R80" s="3027"/>
      <c r="S80" s="3073"/>
      <c r="T80" s="3073"/>
      <c r="U80" s="3073"/>
      <c r="V80" s="3028"/>
      <c r="W80" s="10"/>
      <c r="Z80" s="490"/>
      <c r="AA80" s="37"/>
      <c r="AB80" s="604"/>
      <c r="AC80" s="604"/>
      <c r="AD80" s="604"/>
      <c r="AE80" s="604"/>
      <c r="AF80" s="604"/>
      <c r="AG80" s="604"/>
      <c r="AH80" s="53"/>
      <c r="AI80" s="97"/>
      <c r="IL80" s="477"/>
      <c r="JA80" s="464"/>
    </row>
    <row r="81" spans="1:261" ht="12" customHeight="1">
      <c r="A81" s="3023"/>
      <c r="B81" s="3023"/>
      <c r="C81" s="975"/>
      <c r="D81" s="1"/>
      <c r="E81" s="113" t="s">
        <v>367</v>
      </c>
      <c r="F81" s="1"/>
      <c r="G81" s="179"/>
      <c r="H81" s="85"/>
      <c r="I81" s="85"/>
      <c r="J81" s="2322"/>
      <c r="K81" s="2322"/>
      <c r="L81" s="2322"/>
      <c r="M81" s="2322"/>
      <c r="N81" s="2322"/>
      <c r="O81" s="632">
        <f t="shared" si="264"/>
        <v>0</v>
      </c>
      <c r="R81" s="3027"/>
      <c r="S81" s="3073"/>
      <c r="T81" s="3073"/>
      <c r="U81" s="3073"/>
      <c r="V81" s="3028"/>
      <c r="W81" s="490"/>
      <c r="Z81" s="490"/>
      <c r="AA81" s="53"/>
      <c r="AB81" s="604"/>
      <c r="AC81" s="604"/>
      <c r="AD81" s="604"/>
      <c r="AE81" s="604"/>
      <c r="AF81" s="604"/>
      <c r="AG81" s="604"/>
      <c r="AH81" s="430"/>
      <c r="AI81" s="97"/>
      <c r="IL81" s="477"/>
      <c r="JA81" s="464"/>
    </row>
    <row r="82" spans="1:261" ht="12" customHeight="1">
      <c r="A82" s="3029" t="str">
        <f>IF(AND('Part IV-A-Uses of Funds'!$T$165="Yes",'Part IX A-Scoring Criteria'!$O$414&gt;0,O82&lt;1),"SHOW HISTORIC UNITS HERE &gt;&gt;&gt;&gt;","")</f>
        <v/>
      </c>
      <c r="B82" s="3029"/>
      <c r="C82" s="3029"/>
      <c r="D82" s="3029"/>
      <c r="E82" s="512" t="s">
        <v>3417</v>
      </c>
      <c r="F82" s="1"/>
      <c r="G82" s="179"/>
      <c r="H82" s="85"/>
      <c r="I82" s="85"/>
      <c r="J82" s="2323"/>
      <c r="K82" s="2323"/>
      <c r="L82" s="2323"/>
      <c r="M82" s="2323"/>
      <c r="N82" s="2323"/>
      <c r="O82" s="633">
        <f t="shared" si="264"/>
        <v>0</v>
      </c>
      <c r="R82" s="3027"/>
      <c r="S82" s="3073"/>
      <c r="T82" s="3073"/>
      <c r="U82" s="3073"/>
      <c r="V82" s="3028"/>
      <c r="W82" s="490"/>
      <c r="Z82" s="490"/>
      <c r="AA82" s="53"/>
      <c r="AB82" s="604"/>
      <c r="AC82" s="604"/>
      <c r="AD82" s="604"/>
      <c r="AE82" s="604"/>
      <c r="AF82" s="604"/>
      <c r="AG82" s="604"/>
      <c r="AH82" s="430"/>
      <c r="AI82" s="97"/>
      <c r="IL82" s="477"/>
      <c r="JA82" s="464"/>
    </row>
    <row r="83" spans="1:261" ht="9" customHeight="1">
      <c r="A83" s="1159"/>
      <c r="B83" s="1159"/>
      <c r="C83" s="1159"/>
      <c r="D83" s="1159"/>
      <c r="E83" s="512"/>
      <c r="F83" s="1"/>
      <c r="G83" s="179"/>
      <c r="H83" s="85"/>
      <c r="I83" s="85"/>
      <c r="J83" s="37"/>
      <c r="K83" s="37"/>
      <c r="L83" s="37"/>
      <c r="M83" s="37"/>
      <c r="N83" s="37"/>
      <c r="O83" s="37"/>
      <c r="R83" s="3027"/>
      <c r="S83" s="3073"/>
      <c r="T83" s="3073"/>
      <c r="U83" s="3073"/>
      <c r="V83" s="3028"/>
      <c r="W83" s="490"/>
      <c r="Z83" s="490"/>
      <c r="AA83" s="53"/>
      <c r="AB83" s="604"/>
      <c r="AC83" s="604"/>
      <c r="AD83" s="604"/>
      <c r="AE83" s="604"/>
      <c r="AF83" s="604"/>
      <c r="AG83" s="604"/>
      <c r="AH83" s="430"/>
      <c r="AI83" s="97"/>
      <c r="IL83" s="477"/>
      <c r="JA83" s="464"/>
    </row>
    <row r="84" spans="1:261" ht="12" customHeight="1">
      <c r="A84" s="1159"/>
      <c r="B84" s="1159"/>
      <c r="C84" s="1159"/>
      <c r="D84" s="1159"/>
      <c r="E84" s="113" t="s">
        <v>3378</v>
      </c>
      <c r="F84" s="1"/>
      <c r="G84" s="179"/>
      <c r="H84" s="85"/>
      <c r="I84" s="85"/>
      <c r="J84" s="645">
        <f>J88+J90+J92+J94+J96+J98+J100+J102</f>
        <v>0</v>
      </c>
      <c r="K84" s="645">
        <f>K88+K90+K92+K94+K96+K98+K100+K102</f>
        <v>0</v>
      </c>
      <c r="L84" s="645">
        <f>L88+L90+L92+L94+L96+L98+L100+L102</f>
        <v>0</v>
      </c>
      <c r="M84" s="645">
        <f>M88+M90+M92+M94+M96+M98+M100+M102</f>
        <v>0</v>
      </c>
      <c r="N84" s="645">
        <f>N88+N90+N92+N94+N96+N98+N100+N102</f>
        <v>0</v>
      </c>
      <c r="O84" s="645">
        <f>SUM(J84:N84)</f>
        <v>0</v>
      </c>
      <c r="R84" s="3069"/>
      <c r="S84" s="3072"/>
      <c r="T84" s="3072"/>
      <c r="U84" s="3072"/>
      <c r="V84" s="3070"/>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3039" t="s">
        <v>4131</v>
      </c>
      <c r="D86" s="3039"/>
      <c r="E86" s="1263" t="s">
        <v>40</v>
      </c>
      <c r="F86" s="1059"/>
      <c r="G86" s="1264"/>
      <c r="H86" s="1265"/>
      <c r="I86" s="1266"/>
      <c r="J86" s="645">
        <f t="shared" ref="J86:O86" si="265">SUM(J87:J94)</f>
        <v>0</v>
      </c>
      <c r="K86" s="645">
        <f t="shared" si="265"/>
        <v>0</v>
      </c>
      <c r="L86" s="645">
        <f t="shared" si="265"/>
        <v>6</v>
      </c>
      <c r="M86" s="645">
        <f t="shared" si="265"/>
        <v>2</v>
      </c>
      <c r="N86" s="645">
        <f t="shared" si="265"/>
        <v>0</v>
      </c>
      <c r="O86" s="645">
        <f t="shared" si="265"/>
        <v>8</v>
      </c>
      <c r="R86" s="3034"/>
      <c r="S86" s="3074"/>
      <c r="T86" s="3074"/>
      <c r="U86" s="3074"/>
      <c r="V86" s="3035"/>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3040"/>
      <c r="D87" s="3040"/>
      <c r="E87" s="106"/>
      <c r="F87" s="5"/>
      <c r="G87" s="157"/>
      <c r="H87" s="956" t="s">
        <v>2621</v>
      </c>
      <c r="I87" s="1267"/>
      <c r="J87" s="1022">
        <f>GP48</f>
        <v>0</v>
      </c>
      <c r="K87" s="1022">
        <f>GQ48</f>
        <v>0</v>
      </c>
      <c r="L87" s="1022">
        <f>GR48</f>
        <v>0</v>
      </c>
      <c r="M87" s="1022">
        <f>GS48</f>
        <v>0</v>
      </c>
      <c r="N87" s="1022">
        <f>GT48</f>
        <v>0</v>
      </c>
      <c r="O87" s="1022">
        <f t="shared" ref="O87:O102" si="266">SUM(J87:N87)</f>
        <v>0</v>
      </c>
      <c r="R87" s="3027"/>
      <c r="S87" s="3073"/>
      <c r="T87" s="3073"/>
      <c r="U87" s="3073"/>
      <c r="V87" s="3028"/>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3040"/>
      <c r="D88" s="3040"/>
      <c r="E88" s="106"/>
      <c r="F88" s="5"/>
      <c r="G88" s="157"/>
      <c r="H88" s="98" t="s">
        <v>3378</v>
      </c>
      <c r="I88" s="1267"/>
      <c r="J88" s="636">
        <f>GU48</f>
        <v>0</v>
      </c>
      <c r="K88" s="636">
        <f>GV48</f>
        <v>0</v>
      </c>
      <c r="L88" s="636">
        <f>GW48</f>
        <v>0</v>
      </c>
      <c r="M88" s="636">
        <f>GX48</f>
        <v>0</v>
      </c>
      <c r="N88" s="636">
        <f>GY48</f>
        <v>0</v>
      </c>
      <c r="O88" s="636">
        <f t="shared" si="266"/>
        <v>0</v>
      </c>
      <c r="R88" s="3027"/>
      <c r="S88" s="3073"/>
      <c r="T88" s="3073"/>
      <c r="U88" s="3073"/>
      <c r="V88" s="3028"/>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3040"/>
      <c r="D89" s="3040"/>
      <c r="E89" s="106"/>
      <c r="F89" s="5"/>
      <c r="G89" s="157"/>
      <c r="H89" s="956" t="s">
        <v>2622</v>
      </c>
      <c r="I89" s="1267"/>
      <c r="J89" s="1022">
        <f>GZ48</f>
        <v>0</v>
      </c>
      <c r="K89" s="1022">
        <f>HA48</f>
        <v>0</v>
      </c>
      <c r="L89" s="1022">
        <f>HB48</f>
        <v>0</v>
      </c>
      <c r="M89" s="1022">
        <f>HC48</f>
        <v>0</v>
      </c>
      <c r="N89" s="1022">
        <f>HD48</f>
        <v>0</v>
      </c>
      <c r="O89" s="637">
        <f t="shared" si="266"/>
        <v>0</v>
      </c>
      <c r="R89" s="3027"/>
      <c r="S89" s="3073"/>
      <c r="T89" s="3073"/>
      <c r="U89" s="3073"/>
      <c r="V89" s="3028"/>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3040"/>
      <c r="D90" s="3040"/>
      <c r="E90" s="106"/>
      <c r="F90" s="5"/>
      <c r="G90" s="157"/>
      <c r="H90" s="98" t="s">
        <v>3378</v>
      </c>
      <c r="I90" s="1267"/>
      <c r="J90" s="636">
        <f>HE48</f>
        <v>0</v>
      </c>
      <c r="K90" s="636">
        <f>HF48</f>
        <v>0</v>
      </c>
      <c r="L90" s="636">
        <f>HG48</f>
        <v>0</v>
      </c>
      <c r="M90" s="636">
        <f>HH48</f>
        <v>0</v>
      </c>
      <c r="N90" s="636">
        <f>HI48</f>
        <v>0</v>
      </c>
      <c r="O90" s="636">
        <f t="shared" si="266"/>
        <v>0</v>
      </c>
      <c r="R90" s="3027"/>
      <c r="S90" s="3073"/>
      <c r="T90" s="3073"/>
      <c r="U90" s="3073"/>
      <c r="V90" s="3028"/>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3040"/>
      <c r="D91" s="3040"/>
      <c r="E91" s="106"/>
      <c r="F91" s="5"/>
      <c r="G91" s="157"/>
      <c r="H91" s="956" t="s">
        <v>2624</v>
      </c>
      <c r="I91" s="1267"/>
      <c r="J91" s="1022">
        <f>HJ48</f>
        <v>0</v>
      </c>
      <c r="K91" s="1022">
        <f>HK48</f>
        <v>0</v>
      </c>
      <c r="L91" s="1022">
        <f>HL48</f>
        <v>6</v>
      </c>
      <c r="M91" s="1022">
        <f>HM48</f>
        <v>2</v>
      </c>
      <c r="N91" s="1022">
        <f>HN48</f>
        <v>0</v>
      </c>
      <c r="O91" s="637">
        <f t="shared" si="266"/>
        <v>8</v>
      </c>
      <c r="R91" s="3027"/>
      <c r="S91" s="3073"/>
      <c r="T91" s="3073"/>
      <c r="U91" s="3073"/>
      <c r="V91" s="3028"/>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3040"/>
      <c r="D92" s="3040"/>
      <c r="E92" s="106"/>
      <c r="F92" s="5"/>
      <c r="G92" s="157"/>
      <c r="H92" s="98" t="s">
        <v>3378</v>
      </c>
      <c r="I92" s="1267"/>
      <c r="J92" s="636">
        <f>HO48</f>
        <v>0</v>
      </c>
      <c r="K92" s="636">
        <f>HP48</f>
        <v>0</v>
      </c>
      <c r="L92" s="636">
        <f>HQ48</f>
        <v>0</v>
      </c>
      <c r="M92" s="636">
        <f>HR48</f>
        <v>0</v>
      </c>
      <c r="N92" s="636">
        <f>HS48</f>
        <v>0</v>
      </c>
      <c r="O92" s="636">
        <f t="shared" si="266"/>
        <v>0</v>
      </c>
      <c r="R92" s="3027"/>
      <c r="S92" s="3073"/>
      <c r="T92" s="3073"/>
      <c r="U92" s="3073"/>
      <c r="V92" s="3028"/>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3040"/>
      <c r="D93" s="3040"/>
      <c r="E93" s="106"/>
      <c r="F93" s="1"/>
      <c r="G93" s="85"/>
      <c r="H93" s="41" t="s">
        <v>2623</v>
      </c>
      <c r="I93" s="85"/>
      <c r="J93" s="1022">
        <f>HT48</f>
        <v>0</v>
      </c>
      <c r="K93" s="1022">
        <f>HU48</f>
        <v>0</v>
      </c>
      <c r="L93" s="1022">
        <f>HV48</f>
        <v>0</v>
      </c>
      <c r="M93" s="1022">
        <f>HW48</f>
        <v>0</v>
      </c>
      <c r="N93" s="1022">
        <f>HX48</f>
        <v>0</v>
      </c>
      <c r="O93" s="637">
        <f t="shared" si="266"/>
        <v>0</v>
      </c>
      <c r="R93" s="3027"/>
      <c r="S93" s="3073"/>
      <c r="T93" s="3073"/>
      <c r="U93" s="3073"/>
      <c r="V93" s="3028"/>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3040"/>
      <c r="D94" s="3040"/>
      <c r="E94" s="106"/>
      <c r="F94" s="1"/>
      <c r="G94" s="85"/>
      <c r="H94" s="949" t="s">
        <v>3378</v>
      </c>
      <c r="I94" s="85"/>
      <c r="J94" s="636">
        <f>HY48</f>
        <v>0</v>
      </c>
      <c r="K94" s="636">
        <f>HZ48</f>
        <v>0</v>
      </c>
      <c r="L94" s="636">
        <f>IA48</f>
        <v>0</v>
      </c>
      <c r="M94" s="636">
        <f>IB48</f>
        <v>0</v>
      </c>
      <c r="N94" s="636">
        <f>IC48</f>
        <v>0</v>
      </c>
      <c r="O94" s="636">
        <f t="shared" si="266"/>
        <v>0</v>
      </c>
      <c r="R94" s="3027"/>
      <c r="S94" s="3073"/>
      <c r="T94" s="3073"/>
      <c r="U94" s="3073"/>
      <c r="V94" s="3028"/>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3027"/>
      <c r="S95" s="3073"/>
      <c r="T95" s="3073"/>
      <c r="U95" s="3073"/>
      <c r="V95" s="3028"/>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3378</v>
      </c>
      <c r="I96" s="85"/>
      <c r="J96" s="636">
        <f>FG48</f>
        <v>0</v>
      </c>
      <c r="K96" s="636">
        <f>FH48</f>
        <v>0</v>
      </c>
      <c r="L96" s="636">
        <f>FI48</f>
        <v>0</v>
      </c>
      <c r="M96" s="636">
        <f>FJ48</f>
        <v>0</v>
      </c>
      <c r="N96" s="636">
        <f>FK48</f>
        <v>0</v>
      </c>
      <c r="O96" s="636">
        <f t="shared" si="266"/>
        <v>0</v>
      </c>
      <c r="R96" s="3027"/>
      <c r="S96" s="3073"/>
      <c r="T96" s="3073"/>
      <c r="U96" s="3073"/>
      <c r="V96" s="3028"/>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0</v>
      </c>
      <c r="L97" s="637">
        <f>GH48</f>
        <v>15</v>
      </c>
      <c r="M97" s="637">
        <f>GI48</f>
        <v>0</v>
      </c>
      <c r="N97" s="637">
        <f>GJ48</f>
        <v>0</v>
      </c>
      <c r="O97" s="637">
        <f t="shared" si="266"/>
        <v>15</v>
      </c>
      <c r="R97" s="3027"/>
      <c r="S97" s="3073"/>
      <c r="T97" s="3073"/>
      <c r="U97" s="3073"/>
      <c r="V97" s="3028"/>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3378</v>
      </c>
      <c r="I98" s="85"/>
      <c r="J98" s="636">
        <f>GK48</f>
        <v>0</v>
      </c>
      <c r="K98" s="636">
        <f>GL48</f>
        <v>0</v>
      </c>
      <c r="L98" s="636">
        <f>GM48</f>
        <v>0</v>
      </c>
      <c r="M98" s="636">
        <f>GN48</f>
        <v>0</v>
      </c>
      <c r="N98" s="636">
        <f>GO48</f>
        <v>0</v>
      </c>
      <c r="O98" s="636">
        <f t="shared" si="266"/>
        <v>0</v>
      </c>
      <c r="R98" s="3027"/>
      <c r="S98" s="3073"/>
      <c r="T98" s="3073"/>
      <c r="U98" s="3073"/>
      <c r="V98" s="3028"/>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570</v>
      </c>
      <c r="F99" s="1"/>
      <c r="G99" s="85"/>
      <c r="H99" s="41"/>
      <c r="I99" s="85"/>
      <c r="J99" s="637">
        <f>FV48</f>
        <v>0</v>
      </c>
      <c r="K99" s="637">
        <f>FW48</f>
        <v>0</v>
      </c>
      <c r="L99" s="637">
        <f>FX48</f>
        <v>24</v>
      </c>
      <c r="M99" s="637">
        <f>FY48</f>
        <v>18</v>
      </c>
      <c r="N99" s="637">
        <f>FZ48</f>
        <v>0</v>
      </c>
      <c r="O99" s="637">
        <f t="shared" si="266"/>
        <v>42</v>
      </c>
      <c r="R99" s="3027"/>
      <c r="S99" s="3073"/>
      <c r="T99" s="3073"/>
      <c r="U99" s="3073"/>
      <c r="V99" s="3028"/>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3378</v>
      </c>
      <c r="I100" s="85"/>
      <c r="J100" s="1022">
        <f>GA48</f>
        <v>0</v>
      </c>
      <c r="K100" s="1022">
        <f>GB48</f>
        <v>0</v>
      </c>
      <c r="L100" s="1022">
        <f>GC48</f>
        <v>0</v>
      </c>
      <c r="M100" s="1022">
        <f>GD48</f>
        <v>0</v>
      </c>
      <c r="N100" s="1022">
        <f>GE48</f>
        <v>0</v>
      </c>
      <c r="O100" s="636">
        <f t="shared" si="266"/>
        <v>0</v>
      </c>
      <c r="R100" s="3027"/>
      <c r="S100" s="3073"/>
      <c r="T100" s="3073"/>
      <c r="U100" s="3073"/>
      <c r="V100" s="3028"/>
      <c r="W100" s="97"/>
      <c r="Z100" s="97"/>
      <c r="AA100" s="53"/>
      <c r="AB100" s="604"/>
      <c r="AC100" s="604"/>
      <c r="AD100" s="604"/>
      <c r="AE100" s="604"/>
      <c r="AF100" s="604"/>
      <c r="AG100" s="604"/>
      <c r="AH100" s="430"/>
      <c r="AI100" s="97"/>
      <c r="IL100" s="477"/>
      <c r="JA100" s="464"/>
    </row>
    <row r="101" spans="1:261" ht="12" customHeight="1">
      <c r="C101" s="97"/>
      <c r="D101" s="97"/>
      <c r="E101" s="92" t="s">
        <v>571</v>
      </c>
      <c r="F101" s="1"/>
      <c r="G101" s="85"/>
      <c r="H101" s="41"/>
      <c r="I101" s="85"/>
      <c r="J101" s="637">
        <f>FL48</f>
        <v>0</v>
      </c>
      <c r="K101" s="637">
        <f>FM48</f>
        <v>0</v>
      </c>
      <c r="L101" s="637">
        <f>FN48</f>
        <v>0</v>
      </c>
      <c r="M101" s="637">
        <f>FO48</f>
        <v>0</v>
      </c>
      <c r="N101" s="637">
        <f>FP48</f>
        <v>0</v>
      </c>
      <c r="O101" s="637">
        <f t="shared" si="266"/>
        <v>0</v>
      </c>
      <c r="R101" s="3027"/>
      <c r="S101" s="3073"/>
      <c r="T101" s="3073"/>
      <c r="U101" s="3073"/>
      <c r="V101" s="3028"/>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3378</v>
      </c>
      <c r="I102" s="85"/>
      <c r="J102" s="1023">
        <f>FQ48</f>
        <v>0</v>
      </c>
      <c r="K102" s="1023">
        <f>FR48</f>
        <v>0</v>
      </c>
      <c r="L102" s="1023">
        <f>FS48</f>
        <v>0</v>
      </c>
      <c r="M102" s="1023">
        <f>FT48</f>
        <v>0</v>
      </c>
      <c r="N102" s="1023">
        <f>FU48</f>
        <v>0</v>
      </c>
      <c r="O102" s="1023">
        <f t="shared" si="266"/>
        <v>0</v>
      </c>
      <c r="R102" s="3069"/>
      <c r="S102" s="3072"/>
      <c r="T102" s="3072"/>
      <c r="U102" s="3072"/>
      <c r="V102" s="3070"/>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6"/>
      <c r="I103" s="85"/>
      <c r="J103" s="638"/>
      <c r="K103" s="638"/>
      <c r="L103" s="638"/>
      <c r="M103" s="638"/>
      <c r="N103" s="638"/>
      <c r="O103" s="638"/>
      <c r="R103" s="324" t="str">
        <f>C104</f>
        <v>Building Type:
(for Cost Limit purposes only)</v>
      </c>
    </row>
    <row r="104" spans="1:261" ht="12" customHeight="1">
      <c r="C104" s="3039" t="s">
        <v>4130</v>
      </c>
      <c r="D104" s="3039"/>
      <c r="E104" s="1263" t="s">
        <v>3373</v>
      </c>
      <c r="F104" s="1264"/>
      <c r="G104" s="1265"/>
      <c r="H104" s="1268"/>
      <c r="I104" s="1266"/>
      <c r="J104" s="1024">
        <f t="shared" ref="J104:N105" si="267">J95+J99+J101</f>
        <v>0</v>
      </c>
      <c r="K104" s="1024">
        <f t="shared" si="267"/>
        <v>0</v>
      </c>
      <c r="L104" s="1024">
        <f t="shared" si="267"/>
        <v>24</v>
      </c>
      <c r="M104" s="1024">
        <f t="shared" si="267"/>
        <v>18</v>
      </c>
      <c r="N104" s="1024">
        <f t="shared" si="267"/>
        <v>0</v>
      </c>
      <c r="O104" s="1024">
        <f t="shared" ref="O104:O111" si="268">SUM(J104:N104)</f>
        <v>42</v>
      </c>
      <c r="R104" s="3034"/>
      <c r="S104" s="3074"/>
      <c r="T104" s="3074"/>
      <c r="U104" s="3074"/>
      <c r="V104" s="3035"/>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3040"/>
      <c r="D105" s="3040"/>
      <c r="E105" s="106"/>
      <c r="F105" s="517"/>
      <c r="G105" s="157"/>
      <c r="H105" s="98" t="s">
        <v>3378</v>
      </c>
      <c r="I105" s="1267"/>
      <c r="J105" s="639">
        <f t="shared" si="267"/>
        <v>0</v>
      </c>
      <c r="K105" s="639">
        <f t="shared" si="267"/>
        <v>0</v>
      </c>
      <c r="L105" s="639">
        <f t="shared" si="267"/>
        <v>0</v>
      </c>
      <c r="M105" s="639">
        <f t="shared" si="267"/>
        <v>0</v>
      </c>
      <c r="N105" s="639">
        <f t="shared" si="267"/>
        <v>0</v>
      </c>
      <c r="O105" s="639">
        <f t="shared" si="268"/>
        <v>0</v>
      </c>
      <c r="R105" s="3027"/>
      <c r="S105" s="3073"/>
      <c r="T105" s="3073"/>
      <c r="U105" s="3073"/>
      <c r="V105" s="3028"/>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3040"/>
      <c r="D106" s="3040"/>
      <c r="E106" s="106" t="s">
        <v>3374</v>
      </c>
      <c r="F106" s="517"/>
      <c r="G106" s="157"/>
      <c r="H106" s="517"/>
      <c r="I106" s="1267"/>
      <c r="J106" s="1025">
        <f>J87+J97</f>
        <v>0</v>
      </c>
      <c r="K106" s="1025">
        <f t="shared" ref="K106:N107" si="269">K87+K97</f>
        <v>0</v>
      </c>
      <c r="L106" s="1025">
        <f t="shared" si="269"/>
        <v>15</v>
      </c>
      <c r="M106" s="1025">
        <f t="shared" si="269"/>
        <v>0</v>
      </c>
      <c r="N106" s="1025">
        <f t="shared" si="269"/>
        <v>0</v>
      </c>
      <c r="O106" s="1025">
        <f t="shared" si="268"/>
        <v>15</v>
      </c>
      <c r="R106" s="3027"/>
      <c r="S106" s="3073"/>
      <c r="T106" s="3073"/>
      <c r="U106" s="3073"/>
      <c r="V106" s="3028"/>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3040"/>
      <c r="D107" s="3040"/>
      <c r="E107" s="106"/>
      <c r="F107" s="517"/>
      <c r="G107" s="157"/>
      <c r="H107" s="98" t="s">
        <v>3378</v>
      </c>
      <c r="I107" s="1267"/>
      <c r="J107" s="639">
        <f>J88+J98</f>
        <v>0</v>
      </c>
      <c r="K107" s="639">
        <f t="shared" si="269"/>
        <v>0</v>
      </c>
      <c r="L107" s="639">
        <f t="shared" si="269"/>
        <v>0</v>
      </c>
      <c r="M107" s="639">
        <f t="shared" si="269"/>
        <v>0</v>
      </c>
      <c r="N107" s="639">
        <f t="shared" si="269"/>
        <v>0</v>
      </c>
      <c r="O107" s="639">
        <f t="shared" si="268"/>
        <v>0</v>
      </c>
      <c r="R107" s="3027"/>
      <c r="S107" s="3073"/>
      <c r="T107" s="3073"/>
      <c r="U107" s="3073"/>
      <c r="V107" s="3028"/>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3040"/>
      <c r="D108" s="3040"/>
      <c r="E108" s="106" t="s">
        <v>3375</v>
      </c>
      <c r="F108" s="517"/>
      <c r="G108" s="157"/>
      <c r="H108" s="956"/>
      <c r="I108" s="1267"/>
      <c r="J108" s="1025">
        <f>J91</f>
        <v>0</v>
      </c>
      <c r="K108" s="1025">
        <f t="shared" ref="K108:N109" si="270">K91</f>
        <v>0</v>
      </c>
      <c r="L108" s="1025">
        <f t="shared" si="270"/>
        <v>6</v>
      </c>
      <c r="M108" s="1025">
        <f t="shared" si="270"/>
        <v>2</v>
      </c>
      <c r="N108" s="1025">
        <f t="shared" si="270"/>
        <v>0</v>
      </c>
      <c r="O108" s="1025">
        <f t="shared" si="268"/>
        <v>8</v>
      </c>
      <c r="R108" s="3027"/>
      <c r="S108" s="3073"/>
      <c r="T108" s="3073"/>
      <c r="U108" s="3073"/>
      <c r="V108" s="3028"/>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3040"/>
      <c r="D109" s="3040"/>
      <c r="E109" s="106"/>
      <c r="F109" s="517"/>
      <c r="G109" s="157"/>
      <c r="H109" s="98" t="s">
        <v>3378</v>
      </c>
      <c r="I109" s="1267"/>
      <c r="J109" s="639">
        <f>J92</f>
        <v>0</v>
      </c>
      <c r="K109" s="639">
        <f t="shared" si="270"/>
        <v>0</v>
      </c>
      <c r="L109" s="639">
        <f t="shared" si="270"/>
        <v>0</v>
      </c>
      <c r="M109" s="639">
        <f t="shared" si="270"/>
        <v>0</v>
      </c>
      <c r="N109" s="639">
        <f t="shared" si="270"/>
        <v>0</v>
      </c>
      <c r="O109" s="639">
        <f t="shared" si="268"/>
        <v>0</v>
      </c>
      <c r="R109" s="3027"/>
      <c r="S109" s="3073"/>
      <c r="T109" s="3073"/>
      <c r="U109" s="3073"/>
      <c r="V109" s="3028"/>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3040"/>
      <c r="D110" s="3040"/>
      <c r="E110" s="106" t="s">
        <v>3376</v>
      </c>
      <c r="F110" s="517"/>
      <c r="G110" s="157"/>
      <c r="H110" s="956"/>
      <c r="I110" s="1267"/>
      <c r="J110" s="1025">
        <f>J89+J93</f>
        <v>0</v>
      </c>
      <c r="K110" s="1025">
        <f t="shared" ref="K110:N111" si="271">K89+K93</f>
        <v>0</v>
      </c>
      <c r="L110" s="1025">
        <f t="shared" si="271"/>
        <v>0</v>
      </c>
      <c r="M110" s="1025">
        <f t="shared" si="271"/>
        <v>0</v>
      </c>
      <c r="N110" s="1025">
        <f t="shared" si="271"/>
        <v>0</v>
      </c>
      <c r="O110" s="1025">
        <f t="shared" si="268"/>
        <v>0</v>
      </c>
      <c r="R110" s="3027"/>
      <c r="S110" s="3073"/>
      <c r="T110" s="3073"/>
      <c r="U110" s="3073"/>
      <c r="V110" s="3028"/>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3378</v>
      </c>
      <c r="I111" s="85"/>
      <c r="J111" s="1026">
        <f>J90+J94</f>
        <v>0</v>
      </c>
      <c r="K111" s="1026">
        <f t="shared" si="271"/>
        <v>0</v>
      </c>
      <c r="L111" s="1026">
        <f t="shared" si="271"/>
        <v>0</v>
      </c>
      <c r="M111" s="1026">
        <f t="shared" si="271"/>
        <v>0</v>
      </c>
      <c r="N111" s="1026">
        <f t="shared" si="271"/>
        <v>0</v>
      </c>
      <c r="O111" s="1026">
        <f t="shared" si="268"/>
        <v>0</v>
      </c>
      <c r="R111" s="3069"/>
      <c r="S111" s="3072"/>
      <c r="T111" s="3072"/>
      <c r="U111" s="3072"/>
      <c r="V111" s="3070"/>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2181</v>
      </c>
      <c r="C112" s="1"/>
      <c r="D112" s="1"/>
      <c r="E112" s="1"/>
      <c r="F112" s="1"/>
      <c r="G112" s="85"/>
      <c r="H112" s="41"/>
      <c r="I112" s="85"/>
      <c r="J112" s="640"/>
      <c r="K112" s="640"/>
      <c r="L112" s="640"/>
      <c r="M112" s="640"/>
      <c r="N112" s="640"/>
      <c r="O112" s="640"/>
      <c r="R112" s="3075" t="str">
        <f>B112</f>
        <v>Unit Square Footage:</v>
      </c>
      <c r="S112" s="3075"/>
      <c r="T112" s="3075"/>
      <c r="W112" s="490"/>
      <c r="Z112" s="490"/>
      <c r="AA112" s="53"/>
      <c r="AB112" s="490"/>
      <c r="AC112" s="490"/>
      <c r="AD112" s="490"/>
      <c r="AE112" s="490"/>
      <c r="AF112" s="490"/>
      <c r="AG112" s="490"/>
      <c r="AH112" s="488"/>
      <c r="AI112" s="97"/>
      <c r="IL112" s="477"/>
      <c r="JA112" s="464"/>
    </row>
    <row r="113" spans="1:263" ht="12" customHeight="1">
      <c r="C113" s="5" t="s">
        <v>2152</v>
      </c>
      <c r="D113" s="1"/>
      <c r="E113" s="1"/>
      <c r="F113" s="1"/>
      <c r="G113" s="85"/>
      <c r="H113" s="41" t="s">
        <v>1159</v>
      </c>
      <c r="I113" s="85"/>
      <c r="J113" s="1027">
        <f>BZ48</f>
        <v>0</v>
      </c>
      <c r="K113" s="1027">
        <f>CA48</f>
        <v>0</v>
      </c>
      <c r="L113" s="1027">
        <f>CB48</f>
        <v>34572</v>
      </c>
      <c r="M113" s="1027">
        <f>CC48</f>
        <v>19108</v>
      </c>
      <c r="N113" s="1027">
        <f>CD48</f>
        <v>0</v>
      </c>
      <c r="O113" s="1027">
        <f t="shared" ref="O113:O119" si="272">SUM(J113:N113)</f>
        <v>53680</v>
      </c>
      <c r="R113" s="3034"/>
      <c r="S113" s="3074"/>
      <c r="T113" s="3074"/>
      <c r="U113" s="3074"/>
      <c r="V113" s="3035"/>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119</v>
      </c>
      <c r="I114" s="85"/>
      <c r="J114" s="1028">
        <f>CE48</f>
        <v>0</v>
      </c>
      <c r="K114" s="1028">
        <f>CF48</f>
        <v>0</v>
      </c>
      <c r="L114" s="1028">
        <f>CG48</f>
        <v>21036</v>
      </c>
      <c r="M114" s="1028">
        <f>CH48</f>
        <v>12692</v>
      </c>
      <c r="N114" s="1028">
        <f>CI48</f>
        <v>0</v>
      </c>
      <c r="O114" s="1028">
        <f t="shared" si="272"/>
        <v>33728</v>
      </c>
      <c r="R114" s="3027"/>
      <c r="S114" s="3073"/>
      <c r="T114" s="3073"/>
      <c r="U114" s="3073"/>
      <c r="V114" s="3028"/>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544</v>
      </c>
      <c r="I115" s="85"/>
      <c r="J115" s="641">
        <f>SUM(J113:J114)</f>
        <v>0</v>
      </c>
      <c r="K115" s="641">
        <f>SUM(K113:K114)</f>
        <v>0</v>
      </c>
      <c r="L115" s="641">
        <f>SUM(L113:L114)</f>
        <v>55608</v>
      </c>
      <c r="M115" s="641">
        <f>SUM(M113:M114)</f>
        <v>31800</v>
      </c>
      <c r="N115" s="641">
        <f>SUM(N113:N114)</f>
        <v>0</v>
      </c>
      <c r="O115" s="641">
        <f t="shared" si="272"/>
        <v>87408</v>
      </c>
      <c r="R115" s="3027"/>
      <c r="S115" s="3073"/>
      <c r="T115" s="3073"/>
      <c r="U115" s="3073"/>
      <c r="V115" s="3028"/>
      <c r="W115" s="10"/>
      <c r="Z115" s="490"/>
      <c r="AA115" s="53"/>
      <c r="AB115" s="604"/>
      <c r="AC115" s="604"/>
      <c r="AD115" s="604"/>
      <c r="AE115" s="604"/>
      <c r="AF115" s="604"/>
      <c r="AG115" s="604"/>
      <c r="AH115" s="490"/>
      <c r="AI115" s="97"/>
      <c r="IL115" s="477"/>
      <c r="JA115" s="464"/>
    </row>
    <row r="116" spans="1:263" ht="12" customHeight="1">
      <c r="C116" s="1" t="s">
        <v>305</v>
      </c>
      <c r="D116" s="1"/>
      <c r="E116" s="1"/>
      <c r="F116" s="1"/>
      <c r="G116" s="1"/>
      <c r="H116" s="85"/>
      <c r="I116" s="85"/>
      <c r="J116" s="642">
        <f>CO48</f>
        <v>0</v>
      </c>
      <c r="K116" s="642">
        <f>CP48</f>
        <v>0</v>
      </c>
      <c r="L116" s="642">
        <f>CQ48</f>
        <v>0</v>
      </c>
      <c r="M116" s="642">
        <f>CR48</f>
        <v>0</v>
      </c>
      <c r="N116" s="642">
        <f>CS48</f>
        <v>0</v>
      </c>
      <c r="O116" s="642">
        <f t="shared" si="272"/>
        <v>0</v>
      </c>
      <c r="R116" s="3027"/>
      <c r="S116" s="3073"/>
      <c r="T116" s="3073"/>
      <c r="U116" s="3073"/>
      <c r="V116" s="3028"/>
      <c r="W116" s="97"/>
      <c r="Z116" s="490"/>
      <c r="AA116" s="490"/>
      <c r="AB116" s="604"/>
      <c r="AC116" s="604"/>
      <c r="AD116" s="604"/>
      <c r="AE116" s="604"/>
      <c r="AF116" s="604"/>
      <c r="AG116" s="604"/>
      <c r="AH116" s="488"/>
      <c r="AI116" s="97"/>
      <c r="IL116" s="477"/>
      <c r="JA116" s="464"/>
    </row>
    <row r="117" spans="1:263" ht="12" customHeight="1">
      <c r="C117" s="5" t="s">
        <v>1148</v>
      </c>
      <c r="D117" s="1"/>
      <c r="E117" s="1"/>
      <c r="F117" s="1"/>
      <c r="G117" s="1"/>
      <c r="H117" s="85"/>
      <c r="I117" s="85"/>
      <c r="J117" s="641">
        <f>SUM(J115:J116)</f>
        <v>0</v>
      </c>
      <c r="K117" s="641">
        <f>SUM(K115:K116)</f>
        <v>0</v>
      </c>
      <c r="L117" s="641">
        <f>SUM(L115:L116)</f>
        <v>55608</v>
      </c>
      <c r="M117" s="641">
        <f>SUM(M115:M116)</f>
        <v>31800</v>
      </c>
      <c r="N117" s="641">
        <f>SUM(N115:N116)</f>
        <v>0</v>
      </c>
      <c r="O117" s="641">
        <f t="shared" si="272"/>
        <v>87408</v>
      </c>
      <c r="R117" s="3027"/>
      <c r="S117" s="3073"/>
      <c r="T117" s="3073"/>
      <c r="U117" s="3073"/>
      <c r="V117" s="3028"/>
      <c r="W117" s="490"/>
      <c r="Z117" s="490"/>
      <c r="AA117" s="490"/>
      <c r="AB117" s="604"/>
      <c r="AC117" s="604"/>
      <c r="AD117" s="604"/>
      <c r="AE117" s="604"/>
      <c r="AF117" s="604"/>
      <c r="AG117" s="604"/>
      <c r="AH117" s="488"/>
      <c r="AI117" s="97"/>
      <c r="IL117" s="477"/>
      <c r="JA117" s="464"/>
    </row>
    <row r="118" spans="1:263" ht="12" customHeight="1">
      <c r="C118" s="5" t="s">
        <v>2528</v>
      </c>
      <c r="D118" s="1"/>
      <c r="E118" s="1"/>
      <c r="F118" s="1"/>
      <c r="G118" s="1"/>
      <c r="H118" s="85"/>
      <c r="I118" s="85"/>
      <c r="J118" s="642">
        <f>CY48</f>
        <v>0</v>
      </c>
      <c r="K118" s="642">
        <f>CZ48</f>
        <v>0</v>
      </c>
      <c r="L118" s="642">
        <f>DA48</f>
        <v>0</v>
      </c>
      <c r="M118" s="642">
        <f>DB48</f>
        <v>0</v>
      </c>
      <c r="N118" s="642">
        <f>DC48</f>
        <v>0</v>
      </c>
      <c r="O118" s="642">
        <f t="shared" si="272"/>
        <v>0</v>
      </c>
      <c r="R118" s="3027"/>
      <c r="S118" s="3073"/>
      <c r="T118" s="3073"/>
      <c r="U118" s="3073"/>
      <c r="V118" s="3028"/>
      <c r="W118" s="490"/>
      <c r="Z118" s="490"/>
      <c r="AA118" s="490"/>
      <c r="AB118" s="604"/>
      <c r="AC118" s="604"/>
      <c r="AD118" s="604"/>
      <c r="AE118" s="604"/>
      <c r="AF118" s="604"/>
      <c r="AG118" s="604"/>
      <c r="AH118" s="488"/>
      <c r="AI118" s="97"/>
      <c r="IL118" s="477"/>
      <c r="JA118" s="464"/>
    </row>
    <row r="119" spans="1:263" ht="12" customHeight="1">
      <c r="C119" s="5" t="s">
        <v>544</v>
      </c>
      <c r="D119" s="1"/>
      <c r="E119" s="1"/>
      <c r="F119" s="1"/>
      <c r="G119" s="1"/>
      <c r="H119" s="85"/>
      <c r="I119" s="85"/>
      <c r="J119" s="643">
        <f>SUM(J117:J118)</f>
        <v>0</v>
      </c>
      <c r="K119" s="643">
        <f>SUM(K117:K118)</f>
        <v>0</v>
      </c>
      <c r="L119" s="643">
        <f>SUM(L117:L118)</f>
        <v>55608</v>
      </c>
      <c r="M119" s="643">
        <f>SUM(M117:M118)</f>
        <v>31800</v>
      </c>
      <c r="N119" s="643">
        <f>SUM(N117:N118)</f>
        <v>0</v>
      </c>
      <c r="O119" s="643">
        <f t="shared" si="272"/>
        <v>87408</v>
      </c>
      <c r="R119" s="3069"/>
      <c r="S119" s="3072"/>
      <c r="T119" s="3072"/>
      <c r="U119" s="3072"/>
      <c r="V119" s="3070"/>
      <c r="W119" s="490"/>
      <c r="Z119" s="490"/>
      <c r="AA119" s="490"/>
      <c r="AB119" s="604"/>
      <c r="AC119" s="604"/>
      <c r="AD119" s="604"/>
      <c r="AE119" s="604"/>
      <c r="AF119" s="604"/>
      <c r="AG119" s="604"/>
      <c r="AH119" s="488"/>
      <c r="AI119" s="97"/>
      <c r="IL119" s="477"/>
      <c r="JA119" s="464"/>
    </row>
    <row r="120" spans="1:263" ht="13.9" customHeight="1">
      <c r="A120" s="14" t="s">
        <v>750</v>
      </c>
      <c r="B120" s="14" t="s">
        <v>227</v>
      </c>
      <c r="P120" s="8"/>
      <c r="Q120" s="8"/>
      <c r="R120" s="14" t="s">
        <v>1859</v>
      </c>
      <c r="T120" s="423"/>
      <c r="GT120" s="464"/>
      <c r="GY120" s="464"/>
      <c r="IE120" s="473"/>
      <c r="IK120" s="464"/>
      <c r="IL120" s="477"/>
      <c r="JA120" s="464"/>
      <c r="JC120" s="477"/>
    </row>
    <row r="121" spans="1:263" ht="2.25" customHeight="1">
      <c r="P121" s="423"/>
      <c r="Q121" s="423"/>
    </row>
    <row r="122" spans="1:263" ht="11.25" customHeight="1">
      <c r="B122" s="980" t="s">
        <v>1026</v>
      </c>
      <c r="C122" s="92"/>
      <c r="D122" s="113"/>
      <c r="E122" s="92"/>
      <c r="F122" s="92"/>
      <c r="G122" s="92"/>
      <c r="H122" s="3041">
        <f>'Part VII-Pro Forma'!B9*L49</f>
        <v>9297.1200000000008</v>
      </c>
      <c r="I122" s="3042"/>
      <c r="J122" s="92"/>
      <c r="K122" s="508" t="s">
        <v>2760</v>
      </c>
      <c r="L122" s="92"/>
      <c r="M122" s="92"/>
      <c r="N122" s="92"/>
      <c r="O122" s="981">
        <f>H122/L49</f>
        <v>0.02</v>
      </c>
      <c r="P122" s="392"/>
      <c r="Q122" s="392"/>
      <c r="R122" s="4" t="str">
        <f>B122</f>
        <v>Ancillary Income</v>
      </c>
    </row>
    <row r="123" spans="1:263" ht="2.25" customHeight="1">
      <c r="B123" s="980"/>
      <c r="C123" s="92"/>
      <c r="D123" s="113"/>
      <c r="E123" s="982"/>
      <c r="F123" s="92"/>
      <c r="G123" s="92"/>
      <c r="H123" s="92"/>
      <c r="I123" s="111"/>
      <c r="J123" s="92"/>
      <c r="K123" s="92"/>
      <c r="L123" s="92"/>
      <c r="M123" s="92"/>
      <c r="N123" s="92"/>
      <c r="O123" s="92"/>
      <c r="P123" s="392"/>
      <c r="Q123" s="392"/>
    </row>
    <row r="124" spans="1:263" ht="11.25" customHeight="1">
      <c r="B124" s="980" t="s">
        <v>1457</v>
      </c>
      <c r="C124" s="92"/>
      <c r="D124" s="92"/>
      <c r="E124" s="92"/>
      <c r="F124" s="92"/>
      <c r="G124" s="92"/>
      <c r="H124" s="92"/>
      <c r="I124" s="980"/>
      <c r="J124" s="92"/>
      <c r="K124" s="983"/>
      <c r="L124" s="92"/>
      <c r="M124" s="92"/>
      <c r="N124" s="92"/>
      <c r="O124" s="92"/>
      <c r="P124" s="114"/>
      <c r="R124" s="1584" t="str">
        <f>B124</f>
        <v>Other Income (OI) by Year:</v>
      </c>
    </row>
    <row r="125" spans="1:263" ht="11.25" customHeight="1">
      <c r="B125" s="984" t="s">
        <v>2302</v>
      </c>
      <c r="C125" s="92"/>
      <c r="D125" s="92"/>
      <c r="E125" s="92"/>
      <c r="F125" s="92"/>
      <c r="G125" s="985">
        <v>1</v>
      </c>
      <c r="H125" s="985">
        <v>2</v>
      </c>
      <c r="I125" s="985">
        <v>3</v>
      </c>
      <c r="J125" s="985">
        <v>4</v>
      </c>
      <c r="K125" s="986">
        <v>5</v>
      </c>
      <c r="L125" s="985">
        <v>6</v>
      </c>
      <c r="M125" s="985">
        <v>7</v>
      </c>
      <c r="N125" s="985">
        <v>8</v>
      </c>
      <c r="O125" s="985">
        <v>9</v>
      </c>
      <c r="P125" s="985">
        <v>10</v>
      </c>
      <c r="Q125" s="669"/>
      <c r="R125" s="97" t="str">
        <f>B125</f>
        <v>Included in Mgt Fee:</v>
      </c>
    </row>
    <row r="126" spans="1:263" ht="11.25" customHeight="1">
      <c r="B126" s="113" t="s">
        <v>1027</v>
      </c>
      <c r="C126" s="113"/>
      <c r="D126" s="113"/>
      <c r="E126" s="113"/>
      <c r="F126" s="113"/>
      <c r="G126" s="2324"/>
      <c r="H126" s="2324"/>
      <c r="I126" s="2324"/>
      <c r="J126" s="2324"/>
      <c r="K126" s="2325"/>
      <c r="L126" s="2324"/>
      <c r="M126" s="2324"/>
      <c r="N126" s="2324"/>
      <c r="O126" s="2324"/>
      <c r="P126" s="2324"/>
      <c r="Q126" s="926"/>
      <c r="R126" s="3034"/>
      <c r="S126" s="3074"/>
      <c r="T126" s="3074"/>
      <c r="U126" s="3074"/>
      <c r="V126" s="3035"/>
    </row>
    <row r="127" spans="1:263" ht="11.25" customHeight="1">
      <c r="B127" s="113" t="s">
        <v>749</v>
      </c>
      <c r="C127" s="3036"/>
      <c r="D127" s="3037"/>
      <c r="E127" s="3037"/>
      <c r="F127" s="3038"/>
      <c r="G127" s="2326"/>
      <c r="H127" s="2326"/>
      <c r="I127" s="2326"/>
      <c r="J127" s="2326"/>
      <c r="K127" s="2327"/>
      <c r="L127" s="2326"/>
      <c r="M127" s="2326"/>
      <c r="N127" s="2326"/>
      <c r="O127" s="2326"/>
      <c r="P127" s="2326"/>
      <c r="Q127" s="926"/>
      <c r="R127" s="3027"/>
      <c r="S127" s="3073"/>
      <c r="T127" s="3073"/>
      <c r="U127" s="3073"/>
      <c r="V127" s="3028"/>
    </row>
    <row r="128" spans="1:263" ht="11.25" customHeight="1">
      <c r="B128" s="113"/>
      <c r="C128" s="113" t="s">
        <v>937</v>
      </c>
      <c r="D128" s="113"/>
      <c r="E128" s="113"/>
      <c r="F128" s="113"/>
      <c r="G128" s="987">
        <f t="shared" ref="G128:P128" si="273">SUM(G126:G127)</f>
        <v>0</v>
      </c>
      <c r="H128" s="987">
        <f t="shared" si="273"/>
        <v>0</v>
      </c>
      <c r="I128" s="987">
        <f t="shared" si="273"/>
        <v>0</v>
      </c>
      <c r="J128" s="987">
        <f t="shared" si="273"/>
        <v>0</v>
      </c>
      <c r="K128" s="987">
        <f t="shared" si="273"/>
        <v>0</v>
      </c>
      <c r="L128" s="987">
        <f t="shared" si="273"/>
        <v>0</v>
      </c>
      <c r="M128" s="987">
        <f t="shared" si="273"/>
        <v>0</v>
      </c>
      <c r="N128" s="987">
        <f t="shared" si="273"/>
        <v>0</v>
      </c>
      <c r="O128" s="987">
        <f t="shared" si="273"/>
        <v>0</v>
      </c>
      <c r="P128" s="987">
        <f t="shared" si="273"/>
        <v>0</v>
      </c>
      <c r="Q128" s="122"/>
      <c r="R128" s="3069"/>
      <c r="S128" s="3072"/>
      <c r="T128" s="3072"/>
      <c r="U128" s="3072"/>
      <c r="V128" s="3070"/>
    </row>
    <row r="129" spans="2:22" ht="11.25" customHeight="1">
      <c r="B129" s="988" t="s">
        <v>3698</v>
      </c>
      <c r="C129" s="92"/>
      <c r="D129" s="92"/>
      <c r="E129" s="92"/>
      <c r="F129" s="92"/>
      <c r="G129" s="989"/>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2324"/>
      <c r="H130" s="2324"/>
      <c r="I130" s="2324"/>
      <c r="J130" s="2324"/>
      <c r="K130" s="2325"/>
      <c r="L130" s="2324"/>
      <c r="M130" s="2324"/>
      <c r="N130" s="2324"/>
      <c r="O130" s="2324"/>
      <c r="P130" s="2324"/>
      <c r="Q130" s="926"/>
      <c r="R130" s="3034"/>
      <c r="S130" s="3074"/>
      <c r="T130" s="3074"/>
      <c r="U130" s="3074"/>
      <c r="V130" s="3035"/>
    </row>
    <row r="131" spans="2:22" ht="11.25" customHeight="1">
      <c r="B131" s="113" t="s">
        <v>749</v>
      </c>
      <c r="C131" s="3036"/>
      <c r="D131" s="3037"/>
      <c r="E131" s="3037"/>
      <c r="F131" s="3038"/>
      <c r="G131" s="2326"/>
      <c r="H131" s="2326"/>
      <c r="I131" s="2326"/>
      <c r="J131" s="2326"/>
      <c r="K131" s="2327"/>
      <c r="L131" s="2326"/>
      <c r="M131" s="2326"/>
      <c r="N131" s="2326"/>
      <c r="O131" s="2326"/>
      <c r="P131" s="2326"/>
      <c r="Q131" s="926"/>
      <c r="R131" s="3027"/>
      <c r="S131" s="3073"/>
      <c r="T131" s="3073"/>
      <c r="U131" s="3073"/>
      <c r="V131" s="3028"/>
    </row>
    <row r="132" spans="2:22" ht="11.25" customHeight="1">
      <c r="B132" s="113"/>
      <c r="C132" s="113" t="s">
        <v>194</v>
      </c>
      <c r="D132" s="113"/>
      <c r="E132" s="113"/>
      <c r="F132" s="113"/>
      <c r="G132" s="987">
        <f t="shared" ref="G132:P132" si="274">SUM(G130:G131)</f>
        <v>0</v>
      </c>
      <c r="H132" s="987">
        <f t="shared" si="274"/>
        <v>0</v>
      </c>
      <c r="I132" s="987">
        <f t="shared" si="274"/>
        <v>0</v>
      </c>
      <c r="J132" s="987">
        <f t="shared" si="274"/>
        <v>0</v>
      </c>
      <c r="K132" s="987">
        <f t="shared" si="274"/>
        <v>0</v>
      </c>
      <c r="L132" s="987">
        <f t="shared" si="274"/>
        <v>0</v>
      </c>
      <c r="M132" s="987">
        <f t="shared" si="274"/>
        <v>0</v>
      </c>
      <c r="N132" s="987">
        <f t="shared" si="274"/>
        <v>0</v>
      </c>
      <c r="O132" s="987">
        <f t="shared" si="274"/>
        <v>0</v>
      </c>
      <c r="P132" s="987">
        <f t="shared" si="274"/>
        <v>0</v>
      </c>
      <c r="Q132" s="122"/>
      <c r="R132" s="3069"/>
      <c r="S132" s="3072"/>
      <c r="T132" s="3072"/>
      <c r="U132" s="3072"/>
      <c r="V132" s="3070"/>
    </row>
    <row r="133" spans="2:22" ht="3" customHeight="1">
      <c r="B133" s="980"/>
      <c r="C133" s="92"/>
      <c r="D133" s="92"/>
      <c r="E133" s="92"/>
      <c r="F133" s="92"/>
      <c r="G133" s="989"/>
      <c r="H133" s="92"/>
      <c r="I133" s="92"/>
      <c r="J133" s="92"/>
      <c r="K133" s="92"/>
      <c r="L133" s="92"/>
      <c r="M133" s="92"/>
      <c r="N133" s="92"/>
      <c r="O133" s="92"/>
      <c r="P133" s="92"/>
      <c r="Q133" s="8"/>
    </row>
    <row r="134" spans="2:22" ht="11.25" customHeight="1">
      <c r="B134" s="984" t="s">
        <v>2302</v>
      </c>
      <c r="C134" s="92"/>
      <c r="D134" s="92"/>
      <c r="E134" s="92"/>
      <c r="F134" s="92"/>
      <c r="G134" s="985">
        <v>11</v>
      </c>
      <c r="H134" s="985">
        <v>12</v>
      </c>
      <c r="I134" s="985">
        <v>13</v>
      </c>
      <c r="J134" s="985">
        <v>14</v>
      </c>
      <c r="K134" s="985">
        <v>15</v>
      </c>
      <c r="L134" s="985">
        <v>16</v>
      </c>
      <c r="M134" s="985">
        <v>17</v>
      </c>
      <c r="N134" s="985">
        <v>18</v>
      </c>
      <c r="O134" s="985">
        <v>19</v>
      </c>
      <c r="P134" s="985">
        <v>20</v>
      </c>
      <c r="R134" s="143" t="s">
        <v>2639</v>
      </c>
      <c r="S134" s="97" t="str">
        <f>B134</f>
        <v>Included in Mgt Fee:</v>
      </c>
    </row>
    <row r="135" spans="2:22" ht="11.25" customHeight="1">
      <c r="B135" s="113" t="s">
        <v>1027</v>
      </c>
      <c r="C135" s="113"/>
      <c r="D135" s="113"/>
      <c r="E135" s="113"/>
      <c r="F135" s="113"/>
      <c r="G135" s="2324"/>
      <c r="H135" s="2324"/>
      <c r="I135" s="2324"/>
      <c r="J135" s="2324"/>
      <c r="K135" s="2325"/>
      <c r="L135" s="2324"/>
      <c r="M135" s="2324"/>
      <c r="N135" s="2324"/>
      <c r="O135" s="2324"/>
      <c r="P135" s="2324"/>
      <c r="Q135" s="926"/>
      <c r="R135" s="3034"/>
      <c r="S135" s="3074"/>
      <c r="T135" s="3074"/>
      <c r="U135" s="3074"/>
      <c r="V135" s="3035"/>
    </row>
    <row r="136" spans="2:22" ht="11.25" customHeight="1">
      <c r="B136" s="113" t="s">
        <v>749</v>
      </c>
      <c r="C136" s="3036"/>
      <c r="D136" s="3037"/>
      <c r="E136" s="3037"/>
      <c r="F136" s="3038"/>
      <c r="G136" s="2326"/>
      <c r="H136" s="2326"/>
      <c r="I136" s="2326"/>
      <c r="J136" s="2326"/>
      <c r="K136" s="2327"/>
      <c r="L136" s="2326"/>
      <c r="M136" s="2326"/>
      <c r="N136" s="2326"/>
      <c r="O136" s="2326"/>
      <c r="P136" s="2326"/>
      <c r="Q136" s="926"/>
      <c r="R136" s="3027"/>
      <c r="S136" s="3073"/>
      <c r="T136" s="3073"/>
      <c r="U136" s="3073"/>
      <c r="V136" s="3028"/>
    </row>
    <row r="137" spans="2:22" ht="11.25" customHeight="1">
      <c r="B137" s="113"/>
      <c r="C137" s="113" t="s">
        <v>937</v>
      </c>
      <c r="D137" s="113"/>
      <c r="E137" s="113"/>
      <c r="F137" s="113"/>
      <c r="G137" s="987">
        <f t="shared" ref="G137:P137" si="275">SUM(G135:G136)</f>
        <v>0</v>
      </c>
      <c r="H137" s="987">
        <f t="shared" si="275"/>
        <v>0</v>
      </c>
      <c r="I137" s="987">
        <f t="shared" si="275"/>
        <v>0</v>
      </c>
      <c r="J137" s="987">
        <f t="shared" si="275"/>
        <v>0</v>
      </c>
      <c r="K137" s="987">
        <f t="shared" si="275"/>
        <v>0</v>
      </c>
      <c r="L137" s="987">
        <f t="shared" si="275"/>
        <v>0</v>
      </c>
      <c r="M137" s="987">
        <f t="shared" si="275"/>
        <v>0</v>
      </c>
      <c r="N137" s="987">
        <f t="shared" si="275"/>
        <v>0</v>
      </c>
      <c r="O137" s="987">
        <f t="shared" si="275"/>
        <v>0</v>
      </c>
      <c r="P137" s="987">
        <f t="shared" si="275"/>
        <v>0</v>
      </c>
      <c r="Q137" s="122"/>
      <c r="R137" s="3069"/>
      <c r="S137" s="3072"/>
      <c r="T137" s="3072"/>
      <c r="U137" s="3072"/>
      <c r="V137" s="3070"/>
    </row>
    <row r="138" spans="2:22" ht="11.25" customHeight="1">
      <c r="B138" s="988" t="s">
        <v>3698</v>
      </c>
      <c r="C138" s="92"/>
      <c r="D138" s="92"/>
      <c r="E138" s="92"/>
      <c r="F138" s="92"/>
      <c r="G138" s="989"/>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2324"/>
      <c r="H139" s="2324"/>
      <c r="I139" s="2324"/>
      <c r="J139" s="2324"/>
      <c r="K139" s="2325"/>
      <c r="L139" s="2324"/>
      <c r="M139" s="2324"/>
      <c r="N139" s="2324"/>
      <c r="O139" s="2324"/>
      <c r="P139" s="2324"/>
      <c r="Q139" s="926"/>
      <c r="R139" s="3034"/>
      <c r="S139" s="3074"/>
      <c r="T139" s="3074"/>
      <c r="U139" s="3074"/>
      <c r="V139" s="3035"/>
    </row>
    <row r="140" spans="2:22" ht="11.25" customHeight="1">
      <c r="B140" s="113" t="s">
        <v>749</v>
      </c>
      <c r="C140" s="3036"/>
      <c r="D140" s="3037"/>
      <c r="E140" s="3037"/>
      <c r="F140" s="3038"/>
      <c r="G140" s="2326"/>
      <c r="H140" s="2326"/>
      <c r="I140" s="2326"/>
      <c r="J140" s="2326"/>
      <c r="K140" s="2327"/>
      <c r="L140" s="2326"/>
      <c r="M140" s="2326"/>
      <c r="N140" s="2326"/>
      <c r="O140" s="2326"/>
      <c r="P140" s="2326"/>
      <c r="Q140" s="926"/>
      <c r="R140" s="3027"/>
      <c r="S140" s="3073"/>
      <c r="T140" s="3073"/>
      <c r="U140" s="3073"/>
      <c r="V140" s="3028"/>
    </row>
    <row r="141" spans="2:22" ht="11.25" customHeight="1">
      <c r="B141" s="113"/>
      <c r="C141" s="113" t="s">
        <v>194</v>
      </c>
      <c r="D141" s="113"/>
      <c r="E141" s="113"/>
      <c r="F141" s="113"/>
      <c r="G141" s="987">
        <f t="shared" ref="G141:P141" si="276">SUM(G139:G140)</f>
        <v>0</v>
      </c>
      <c r="H141" s="987">
        <f t="shared" si="276"/>
        <v>0</v>
      </c>
      <c r="I141" s="987">
        <f t="shared" si="276"/>
        <v>0</v>
      </c>
      <c r="J141" s="987">
        <f t="shared" si="276"/>
        <v>0</v>
      </c>
      <c r="K141" s="987">
        <f t="shared" si="276"/>
        <v>0</v>
      </c>
      <c r="L141" s="987">
        <f t="shared" si="276"/>
        <v>0</v>
      </c>
      <c r="M141" s="987">
        <f t="shared" si="276"/>
        <v>0</v>
      </c>
      <c r="N141" s="987">
        <f t="shared" si="276"/>
        <v>0</v>
      </c>
      <c r="O141" s="987">
        <f t="shared" si="276"/>
        <v>0</v>
      </c>
      <c r="P141" s="987">
        <f t="shared" si="276"/>
        <v>0</v>
      </c>
      <c r="Q141" s="122"/>
      <c r="R141" s="3069"/>
      <c r="S141" s="3072"/>
      <c r="T141" s="3072"/>
      <c r="U141" s="3072"/>
      <c r="V141" s="3070"/>
    </row>
    <row r="142" spans="2:22" ht="3" customHeight="1">
      <c r="B142" s="980"/>
      <c r="C142" s="92"/>
      <c r="D142" s="92"/>
      <c r="E142" s="92"/>
      <c r="F142" s="92"/>
      <c r="G142" s="989"/>
      <c r="H142" s="92"/>
      <c r="I142" s="92"/>
      <c r="J142" s="92"/>
      <c r="K142" s="92"/>
      <c r="L142" s="92"/>
      <c r="M142" s="92"/>
      <c r="N142" s="92"/>
      <c r="O142" s="92"/>
      <c r="P142" s="92"/>
      <c r="Q142" s="8"/>
    </row>
    <row r="143" spans="2:22" ht="11.25" customHeight="1">
      <c r="B143" s="984" t="s">
        <v>2302</v>
      </c>
      <c r="C143" s="92"/>
      <c r="D143" s="92"/>
      <c r="E143" s="92"/>
      <c r="F143" s="92"/>
      <c r="G143" s="985">
        <v>21</v>
      </c>
      <c r="H143" s="985">
        <v>22</v>
      </c>
      <c r="I143" s="985">
        <v>23</v>
      </c>
      <c r="J143" s="985">
        <v>24</v>
      </c>
      <c r="K143" s="985">
        <v>25</v>
      </c>
      <c r="L143" s="985">
        <v>26</v>
      </c>
      <c r="M143" s="985">
        <v>27</v>
      </c>
      <c r="N143" s="985">
        <v>28</v>
      </c>
      <c r="O143" s="985">
        <v>29</v>
      </c>
      <c r="P143" s="985">
        <v>30</v>
      </c>
      <c r="Q143" s="669"/>
      <c r="R143" s="143" t="s">
        <v>2640</v>
      </c>
      <c r="S143" s="97" t="str">
        <f>B143</f>
        <v>Included in Mgt Fee:</v>
      </c>
    </row>
    <row r="144" spans="2:22" ht="11.25" customHeight="1">
      <c r="B144" s="113" t="s">
        <v>1027</v>
      </c>
      <c r="C144" s="113"/>
      <c r="D144" s="113"/>
      <c r="E144" s="113"/>
      <c r="F144" s="113"/>
      <c r="G144" s="2324"/>
      <c r="H144" s="2324"/>
      <c r="I144" s="2324"/>
      <c r="J144" s="2324"/>
      <c r="K144" s="2325"/>
      <c r="L144" s="2324"/>
      <c r="M144" s="2324"/>
      <c r="N144" s="2324"/>
      <c r="O144" s="2324"/>
      <c r="P144" s="2324"/>
      <c r="Q144" s="926"/>
      <c r="R144" s="3034"/>
      <c r="S144" s="3074"/>
      <c r="T144" s="3074"/>
      <c r="U144" s="3074"/>
      <c r="V144" s="3035"/>
    </row>
    <row r="145" spans="2:22" ht="11.25" customHeight="1">
      <c r="B145" s="113" t="s">
        <v>749</v>
      </c>
      <c r="C145" s="3036"/>
      <c r="D145" s="3037"/>
      <c r="E145" s="3037"/>
      <c r="F145" s="3038"/>
      <c r="G145" s="2326"/>
      <c r="H145" s="2326"/>
      <c r="I145" s="2326"/>
      <c r="J145" s="2326"/>
      <c r="K145" s="2327"/>
      <c r="L145" s="2326"/>
      <c r="M145" s="2326"/>
      <c r="N145" s="2326"/>
      <c r="O145" s="2326"/>
      <c r="P145" s="2326"/>
      <c r="Q145" s="926"/>
      <c r="R145" s="3027"/>
      <c r="S145" s="3073"/>
      <c r="T145" s="3073"/>
      <c r="U145" s="3073"/>
      <c r="V145" s="3028"/>
    </row>
    <row r="146" spans="2:22" ht="11.25" customHeight="1">
      <c r="B146" s="113"/>
      <c r="C146" s="113" t="s">
        <v>937</v>
      </c>
      <c r="D146" s="113"/>
      <c r="E146" s="113"/>
      <c r="F146" s="113"/>
      <c r="G146" s="987">
        <f t="shared" ref="G146:P146" si="277">SUM(G144:G145)</f>
        <v>0</v>
      </c>
      <c r="H146" s="987">
        <f t="shared" si="277"/>
        <v>0</v>
      </c>
      <c r="I146" s="987">
        <f t="shared" si="277"/>
        <v>0</v>
      </c>
      <c r="J146" s="987">
        <f t="shared" si="277"/>
        <v>0</v>
      </c>
      <c r="K146" s="987">
        <f t="shared" si="277"/>
        <v>0</v>
      </c>
      <c r="L146" s="987">
        <f t="shared" si="277"/>
        <v>0</v>
      </c>
      <c r="M146" s="987">
        <f t="shared" si="277"/>
        <v>0</v>
      </c>
      <c r="N146" s="987">
        <f t="shared" si="277"/>
        <v>0</v>
      </c>
      <c r="O146" s="987">
        <f t="shared" si="277"/>
        <v>0</v>
      </c>
      <c r="P146" s="987">
        <f t="shared" si="277"/>
        <v>0</v>
      </c>
      <c r="Q146" s="122"/>
      <c r="R146" s="3069"/>
      <c r="S146" s="3072"/>
      <c r="T146" s="3072"/>
      <c r="U146" s="3072"/>
      <c r="V146" s="3070"/>
    </row>
    <row r="147" spans="2:22" ht="11.25" customHeight="1">
      <c r="B147" s="988" t="s">
        <v>3698</v>
      </c>
      <c r="C147" s="92"/>
      <c r="D147" s="92"/>
      <c r="E147" s="92"/>
      <c r="F147" s="92"/>
      <c r="G147" s="989"/>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2324"/>
      <c r="H148" s="2324"/>
      <c r="I148" s="2324"/>
      <c r="J148" s="2324"/>
      <c r="K148" s="2325"/>
      <c r="L148" s="2324"/>
      <c r="M148" s="2324"/>
      <c r="N148" s="2324"/>
      <c r="O148" s="2324"/>
      <c r="P148" s="2324"/>
      <c r="Q148" s="926"/>
      <c r="R148" s="3034"/>
      <c r="S148" s="3074"/>
      <c r="T148" s="3074"/>
      <c r="U148" s="3074"/>
      <c r="V148" s="3035"/>
    </row>
    <row r="149" spans="2:22" ht="11.25" customHeight="1">
      <c r="B149" s="113" t="s">
        <v>749</v>
      </c>
      <c r="C149" s="3036"/>
      <c r="D149" s="3037"/>
      <c r="E149" s="3037"/>
      <c r="F149" s="3038"/>
      <c r="G149" s="2326"/>
      <c r="H149" s="2326"/>
      <c r="I149" s="2326"/>
      <c r="J149" s="2326"/>
      <c r="K149" s="2327"/>
      <c r="L149" s="2326"/>
      <c r="M149" s="2326"/>
      <c r="N149" s="2326"/>
      <c r="O149" s="2326"/>
      <c r="P149" s="2326"/>
      <c r="Q149" s="926"/>
      <c r="R149" s="3027"/>
      <c r="S149" s="3073"/>
      <c r="T149" s="3073"/>
      <c r="U149" s="3073"/>
      <c r="V149" s="3028"/>
    </row>
    <row r="150" spans="2:22" ht="11.25" customHeight="1">
      <c r="B150" s="113"/>
      <c r="C150" s="113" t="s">
        <v>194</v>
      </c>
      <c r="D150" s="113"/>
      <c r="E150" s="113"/>
      <c r="F150" s="113"/>
      <c r="G150" s="987">
        <f t="shared" ref="G150:P150" si="278">SUM(G148:G149)</f>
        <v>0</v>
      </c>
      <c r="H150" s="987">
        <f t="shared" si="278"/>
        <v>0</v>
      </c>
      <c r="I150" s="987">
        <f t="shared" si="278"/>
        <v>0</v>
      </c>
      <c r="J150" s="987">
        <f t="shared" si="278"/>
        <v>0</v>
      </c>
      <c r="K150" s="987">
        <f t="shared" si="278"/>
        <v>0</v>
      </c>
      <c r="L150" s="987">
        <f t="shared" si="278"/>
        <v>0</v>
      </c>
      <c r="M150" s="987">
        <f t="shared" si="278"/>
        <v>0</v>
      </c>
      <c r="N150" s="987">
        <f t="shared" si="278"/>
        <v>0</v>
      </c>
      <c r="O150" s="987">
        <f t="shared" si="278"/>
        <v>0</v>
      </c>
      <c r="P150" s="987">
        <f t="shared" si="278"/>
        <v>0</v>
      </c>
      <c r="Q150" s="122"/>
      <c r="R150" s="3069"/>
      <c r="S150" s="3072"/>
      <c r="T150" s="3072"/>
      <c r="U150" s="3072"/>
      <c r="V150" s="3070"/>
    </row>
    <row r="151" spans="2:22" ht="3" customHeight="1">
      <c r="B151" s="980"/>
      <c r="C151" s="92"/>
      <c r="D151" s="92"/>
      <c r="E151" s="92"/>
      <c r="F151" s="92"/>
      <c r="G151" s="989"/>
      <c r="H151" s="92"/>
      <c r="I151" s="92"/>
      <c r="J151" s="92"/>
      <c r="K151" s="92"/>
      <c r="L151" s="92"/>
      <c r="M151" s="92"/>
      <c r="N151" s="92"/>
      <c r="O151" s="92"/>
      <c r="P151" s="92"/>
      <c r="Q151" s="8"/>
    </row>
    <row r="152" spans="2:22" ht="11.25" customHeight="1">
      <c r="B152" s="984" t="s">
        <v>2302</v>
      </c>
      <c r="C152" s="92"/>
      <c r="D152" s="92"/>
      <c r="E152" s="92"/>
      <c r="F152" s="92"/>
      <c r="G152" s="985">
        <v>31</v>
      </c>
      <c r="H152" s="985">
        <v>32</v>
      </c>
      <c r="I152" s="985">
        <v>33</v>
      </c>
      <c r="J152" s="985">
        <v>34</v>
      </c>
      <c r="K152" s="985">
        <v>35</v>
      </c>
      <c r="L152" s="92"/>
      <c r="M152" s="92"/>
      <c r="N152" s="92"/>
      <c r="O152" s="92"/>
      <c r="P152" s="92"/>
      <c r="R152" s="143" t="s">
        <v>2640</v>
      </c>
      <c r="S152" s="97" t="str">
        <f>B152</f>
        <v>Included in Mgt Fee:</v>
      </c>
    </row>
    <row r="153" spans="2:22" ht="11.25" customHeight="1">
      <c r="B153" s="113" t="s">
        <v>1027</v>
      </c>
      <c r="C153" s="113"/>
      <c r="D153" s="113"/>
      <c r="E153" s="113"/>
      <c r="F153" s="113"/>
      <c r="G153" s="2324"/>
      <c r="H153" s="2324"/>
      <c r="I153" s="2324"/>
      <c r="J153" s="2324"/>
      <c r="K153" s="2325"/>
      <c r="L153" s="92"/>
      <c r="M153" s="92"/>
      <c r="N153" s="92"/>
      <c r="O153" s="92"/>
      <c r="P153" s="92"/>
      <c r="Q153" s="8"/>
      <c r="R153" s="3034"/>
      <c r="S153" s="3074"/>
      <c r="T153" s="3074"/>
      <c r="U153" s="3074"/>
      <c r="V153" s="3035"/>
    </row>
    <row r="154" spans="2:22" ht="11.25" customHeight="1">
      <c r="B154" s="113" t="s">
        <v>749</v>
      </c>
      <c r="C154" s="3036"/>
      <c r="D154" s="3037"/>
      <c r="E154" s="3037"/>
      <c r="F154" s="3038"/>
      <c r="G154" s="2326"/>
      <c r="H154" s="2326"/>
      <c r="I154" s="2326"/>
      <c r="J154" s="2326"/>
      <c r="K154" s="2327"/>
      <c r="L154" s="92"/>
      <c r="M154" s="92"/>
      <c r="N154" s="92"/>
      <c r="O154" s="92"/>
      <c r="P154" s="92"/>
      <c r="Q154" s="8"/>
      <c r="R154" s="3027"/>
      <c r="S154" s="3073"/>
      <c r="T154" s="3073"/>
      <c r="U154" s="3073"/>
      <c r="V154" s="3028"/>
    </row>
    <row r="155" spans="2:22" ht="11.25" customHeight="1">
      <c r="B155" s="113"/>
      <c r="C155" s="113" t="s">
        <v>937</v>
      </c>
      <c r="D155" s="113"/>
      <c r="E155" s="113"/>
      <c r="F155" s="113"/>
      <c r="G155" s="987">
        <f>SUM(G153:G154)</f>
        <v>0</v>
      </c>
      <c r="H155" s="987">
        <f>SUM(H153:H154)</f>
        <v>0</v>
      </c>
      <c r="I155" s="987">
        <f>SUM(I153:I154)</f>
        <v>0</v>
      </c>
      <c r="J155" s="987">
        <f>SUM(J153:J154)</f>
        <v>0</v>
      </c>
      <c r="K155" s="987">
        <f>SUM(K153:K154)</f>
        <v>0</v>
      </c>
      <c r="L155" s="92"/>
      <c r="M155" s="92"/>
      <c r="N155" s="92"/>
      <c r="O155" s="92"/>
      <c r="P155" s="92"/>
      <c r="Q155" s="8"/>
      <c r="R155" s="3069"/>
      <c r="S155" s="3072"/>
      <c r="T155" s="3072"/>
      <c r="U155" s="3072"/>
      <c r="V155" s="3070"/>
    </row>
    <row r="156" spans="2:22" ht="11.25" customHeight="1">
      <c r="B156" s="988" t="s">
        <v>3698</v>
      </c>
      <c r="C156" s="92"/>
      <c r="D156" s="92"/>
      <c r="E156" s="92"/>
      <c r="F156" s="92"/>
      <c r="G156" s="989"/>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2324"/>
      <c r="H157" s="2324"/>
      <c r="I157" s="2324"/>
      <c r="J157" s="2324"/>
      <c r="K157" s="2325"/>
      <c r="L157" s="92"/>
      <c r="M157" s="92"/>
      <c r="N157" s="92"/>
      <c r="O157" s="92"/>
      <c r="P157" s="92"/>
      <c r="Q157" s="8"/>
      <c r="R157" s="3034"/>
      <c r="S157" s="3074"/>
      <c r="T157" s="3074"/>
      <c r="U157" s="3074"/>
      <c r="V157" s="3035"/>
    </row>
    <row r="158" spans="2:22" ht="11.25" customHeight="1">
      <c r="B158" s="113" t="s">
        <v>749</v>
      </c>
      <c r="C158" s="3036"/>
      <c r="D158" s="3037"/>
      <c r="E158" s="3037"/>
      <c r="F158" s="3038"/>
      <c r="G158" s="2326"/>
      <c r="H158" s="2326"/>
      <c r="I158" s="2326"/>
      <c r="J158" s="2326"/>
      <c r="K158" s="2327"/>
      <c r="L158" s="92"/>
      <c r="M158" s="92"/>
      <c r="N158" s="92"/>
      <c r="O158" s="92"/>
      <c r="P158" s="92"/>
      <c r="Q158" s="8"/>
      <c r="R158" s="3027"/>
      <c r="S158" s="3073"/>
      <c r="T158" s="3073"/>
      <c r="U158" s="3073"/>
      <c r="V158" s="3028"/>
    </row>
    <row r="159" spans="2:22" ht="11.25" customHeight="1">
      <c r="B159" s="113"/>
      <c r="C159" s="113" t="s">
        <v>194</v>
      </c>
      <c r="D159" s="113"/>
      <c r="E159" s="113"/>
      <c r="F159" s="113"/>
      <c r="G159" s="987">
        <f>SUM(G157:G158)</f>
        <v>0</v>
      </c>
      <c r="H159" s="987">
        <f>SUM(H157:H158)</f>
        <v>0</v>
      </c>
      <c r="I159" s="987">
        <f>SUM(I157:I158)</f>
        <v>0</v>
      </c>
      <c r="J159" s="987">
        <f>SUM(J157:J158)</f>
        <v>0</v>
      </c>
      <c r="K159" s="987">
        <f>SUM(K157:K158)</f>
        <v>0</v>
      </c>
      <c r="L159" s="92"/>
      <c r="M159" s="92"/>
      <c r="N159" s="92"/>
      <c r="O159" s="92"/>
      <c r="P159" s="92"/>
      <c r="Q159" s="8"/>
      <c r="R159" s="3069"/>
      <c r="S159" s="3072"/>
      <c r="T159" s="3072"/>
      <c r="U159" s="3072"/>
      <c r="V159" s="3070"/>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1859</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15" customHeight="1">
      <c r="A163" s="1"/>
      <c r="B163" s="10" t="s">
        <v>1302</v>
      </c>
      <c r="C163" s="1"/>
      <c r="D163" s="1"/>
      <c r="E163" s="1"/>
      <c r="F163" s="28"/>
      <c r="G163" s="28"/>
      <c r="H163" s="1"/>
      <c r="I163" s="10" t="s">
        <v>1389</v>
      </c>
      <c r="J163" s="1"/>
      <c r="K163" s="1"/>
      <c r="L163" s="1"/>
      <c r="M163" s="1"/>
      <c r="N163" s="10" t="s">
        <v>1388</v>
      </c>
      <c r="O163" s="1"/>
      <c r="P163" s="1"/>
      <c r="Q163" s="1"/>
      <c r="R163" s="3034"/>
      <c r="S163" s="3074"/>
      <c r="T163" s="3074"/>
      <c r="U163" s="3074"/>
      <c r="V163" s="3035"/>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2212</v>
      </c>
      <c r="C164" s="1"/>
      <c r="D164" s="1"/>
      <c r="E164" s="1"/>
      <c r="F164" s="3043">
        <v>25000</v>
      </c>
      <c r="G164" s="3044"/>
      <c r="H164" s="1"/>
      <c r="I164" s="1" t="s">
        <v>1390</v>
      </c>
      <c r="J164" s="1"/>
      <c r="K164" s="3043">
        <v>10000</v>
      </c>
      <c r="L164" s="3044"/>
      <c r="M164" s="1"/>
      <c r="N164" s="1" t="s">
        <v>938</v>
      </c>
      <c r="O164" s="1"/>
      <c r="P164" s="2328">
        <v>28564</v>
      </c>
      <c r="Q164" s="926"/>
      <c r="R164" s="3027"/>
      <c r="S164" s="3073"/>
      <c r="T164" s="3073"/>
      <c r="U164" s="3073"/>
      <c r="V164" s="3028"/>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1379</v>
      </c>
      <c r="C165" s="1"/>
      <c r="D165" s="1"/>
      <c r="E165" s="1"/>
      <c r="F165" s="3043">
        <v>40000</v>
      </c>
      <c r="G165" s="3044"/>
      <c r="H165" s="1"/>
      <c r="I165" s="1" t="s">
        <v>1391</v>
      </c>
      <c r="J165" s="1"/>
      <c r="K165" s="3043">
        <v>7500</v>
      </c>
      <c r="L165" s="3044"/>
      <c r="M165" s="1"/>
      <c r="N165" s="1" t="s">
        <v>148</v>
      </c>
      <c r="O165" s="1"/>
      <c r="P165" s="2328">
        <v>21069</v>
      </c>
      <c r="Q165" s="926"/>
      <c r="R165" s="3027"/>
      <c r="S165" s="3073"/>
      <c r="T165" s="3073"/>
      <c r="U165" s="3073"/>
      <c r="V165" s="3028"/>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1251</v>
      </c>
      <c r="C166" s="1"/>
      <c r="D166" s="1"/>
      <c r="E166" s="1"/>
      <c r="F166" s="3043">
        <v>5000</v>
      </c>
      <c r="G166" s="3044"/>
      <c r="H166" s="1"/>
      <c r="I166" s="1"/>
      <c r="J166" s="126" t="s">
        <v>193</v>
      </c>
      <c r="K166" s="3051">
        <f>SUM(K164:L165)</f>
        <v>17500</v>
      </c>
      <c r="L166" s="3052"/>
      <c r="M166" s="1"/>
      <c r="N166" s="3045" t="s">
        <v>52</v>
      </c>
      <c r="O166" s="3046"/>
      <c r="P166" s="2329"/>
      <c r="Q166" s="926"/>
      <c r="R166" s="3027"/>
      <c r="S166" s="3073"/>
      <c r="T166" s="3073"/>
      <c r="U166" s="3073"/>
      <c r="V166" s="3028"/>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3053" t="s">
        <v>52</v>
      </c>
      <c r="C167" s="3054"/>
      <c r="D167" s="3054"/>
      <c r="E167" s="3055"/>
      <c r="F167" s="3056"/>
      <c r="G167" s="3057"/>
      <c r="H167" s="1"/>
      <c r="I167" s="1"/>
      <c r="J167" s="1"/>
      <c r="K167" s="1"/>
      <c r="L167" s="1"/>
      <c r="M167" s="1"/>
      <c r="N167" s="12" t="s">
        <v>193</v>
      </c>
      <c r="O167" s="1"/>
      <c r="P167" s="419">
        <f>SUM(P164:P166)</f>
        <v>49633</v>
      </c>
      <c r="Q167" s="926"/>
      <c r="R167" s="3027"/>
      <c r="S167" s="3073"/>
      <c r="T167" s="3073"/>
      <c r="U167" s="3073"/>
      <c r="V167" s="3028"/>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3051">
        <f>SUM(F164:G167)</f>
        <v>70000</v>
      </c>
      <c r="G168" s="3052"/>
      <c r="H168" s="1"/>
      <c r="I168" s="1"/>
      <c r="J168" s="13"/>
      <c r="K168" s="1"/>
      <c r="L168" s="1"/>
      <c r="M168" s="1"/>
      <c r="N168" s="1"/>
      <c r="O168" s="1"/>
      <c r="P168" s="1"/>
      <c r="Q168" s="1"/>
      <c r="R168" s="3027"/>
      <c r="S168" s="3073"/>
      <c r="T168" s="3073"/>
      <c r="U168" s="3073"/>
      <c r="V168" s="3028"/>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3027"/>
      <c r="S169" s="3073"/>
      <c r="T169" s="3073"/>
      <c r="U169" s="3073"/>
      <c r="V169" s="3028"/>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15" customHeight="1" thickBot="1">
      <c r="A170" s="1"/>
      <c r="B170" s="10" t="s">
        <v>1303</v>
      </c>
      <c r="C170" s="1"/>
      <c r="D170" s="9"/>
      <c r="E170" s="1"/>
      <c r="F170" s="1"/>
      <c r="G170" s="1"/>
      <c r="H170" s="1"/>
      <c r="I170" s="10" t="s">
        <v>1304</v>
      </c>
      <c r="J170" s="1"/>
      <c r="K170" s="1"/>
      <c r="L170" s="1"/>
      <c r="M170" s="1"/>
      <c r="N170" s="10" t="s">
        <v>1392</v>
      </c>
      <c r="O170" s="1"/>
      <c r="P170" s="418">
        <f>IF(OR('Part VII-Pro Forma'!$B$20 = "Choose Mgt Fee",'Part VII-Pro Forma'!$B$20 = "Choose One!"), 0,- 'Part VII-Pro Forma'!$B$20)</f>
        <v>30420</v>
      </c>
      <c r="Q170" s="927"/>
      <c r="R170" s="3027"/>
      <c r="S170" s="3073"/>
      <c r="T170" s="3073"/>
      <c r="U170" s="3073"/>
      <c r="V170" s="3028"/>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1384</v>
      </c>
      <c r="C171" s="1"/>
      <c r="D171" s="9"/>
      <c r="E171" s="1"/>
      <c r="F171" s="3043">
        <v>2500</v>
      </c>
      <c r="G171" s="3044"/>
      <c r="H171" s="1"/>
      <c r="I171" s="1" t="s">
        <v>1614</v>
      </c>
      <c r="J171" s="1"/>
      <c r="K171" s="3047">
        <v>3000</v>
      </c>
      <c r="L171" s="3048"/>
      <c r="M171" s="1"/>
      <c r="N171" s="408">
        <f>+P170/(O62*0.93)</f>
        <v>503.22580645161287</v>
      </c>
      <c r="O171" s="69" t="s">
        <v>2774</v>
      </c>
      <c r="P171" s="1"/>
      <c r="Q171" s="1"/>
      <c r="R171" s="3027"/>
      <c r="S171" s="3073"/>
      <c r="T171" s="3073"/>
      <c r="U171" s="3073"/>
      <c r="V171" s="3028"/>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1385</v>
      </c>
      <c r="C172" s="1"/>
      <c r="D172" s="9"/>
      <c r="E172" s="1"/>
      <c r="F172" s="3043">
        <v>12500</v>
      </c>
      <c r="G172" s="3044"/>
      <c r="H172" s="1"/>
      <c r="I172" s="1" t="s">
        <v>2065</v>
      </c>
      <c r="J172" s="1"/>
      <c r="K172" s="3049">
        <v>10000</v>
      </c>
      <c r="L172" s="3050"/>
      <c r="M172" s="1"/>
      <c r="N172" s="408">
        <f>+P170/(O62*0.93)/12</f>
        <v>41.935483870967737</v>
      </c>
      <c r="O172" s="69" t="s">
        <v>2775</v>
      </c>
      <c r="P172" s="1"/>
      <c r="Q172" s="1"/>
      <c r="R172" s="3027"/>
      <c r="S172" s="3073"/>
      <c r="T172" s="3073"/>
      <c r="U172" s="3073"/>
      <c r="V172" s="3028"/>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1386</v>
      </c>
      <c r="C173" s="1"/>
      <c r="D173" s="9"/>
      <c r="E173" s="1"/>
      <c r="F173" s="3043"/>
      <c r="G173" s="3044"/>
      <c r="H173" s="1"/>
      <c r="I173" s="1" t="s">
        <v>1615</v>
      </c>
      <c r="J173" s="1"/>
      <c r="K173" s="3049">
        <v>5000</v>
      </c>
      <c r="L173" s="3050"/>
      <c r="M173" s="1"/>
      <c r="N173" s="37" t="s">
        <v>3756</v>
      </c>
      <c r="O173" s="1041"/>
      <c r="P173" s="1041"/>
      <c r="Q173" s="1602"/>
      <c r="R173" s="3027"/>
      <c r="S173" s="3073"/>
      <c r="T173" s="3073"/>
      <c r="U173" s="3073"/>
      <c r="V173" s="3028"/>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2357</v>
      </c>
      <c r="C174" s="1"/>
      <c r="D174" s="9"/>
      <c r="E174" s="1"/>
      <c r="F174" s="3043"/>
      <c r="G174" s="3044"/>
      <c r="H174" s="1"/>
      <c r="I174" s="3045" t="s">
        <v>4596</v>
      </c>
      <c r="J174" s="3046"/>
      <c r="K174" s="3047">
        <v>750</v>
      </c>
      <c r="L174" s="3048"/>
      <c r="M174" s="1"/>
      <c r="N174" s="1041"/>
      <c r="O174" s="1041"/>
      <c r="P174" s="1041"/>
      <c r="Q174" s="1602"/>
      <c r="R174" s="3027"/>
      <c r="S174" s="3073"/>
      <c r="T174" s="3073"/>
      <c r="U174" s="3073"/>
      <c r="V174" s="3028"/>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1612</v>
      </c>
      <c r="C175" s="1"/>
      <c r="D175" s="9"/>
      <c r="E175" s="1"/>
      <c r="F175" s="3043">
        <v>10000</v>
      </c>
      <c r="G175" s="3044"/>
      <c r="H175" s="1"/>
      <c r="I175" s="10"/>
      <c r="J175" s="12" t="s">
        <v>193</v>
      </c>
      <c r="K175" s="3058">
        <f>SUM(K171:K174)</f>
        <v>18750</v>
      </c>
      <c r="L175" s="3059"/>
      <c r="M175" s="3060" t="str">
        <f>IF(P177="","",IF(P175&lt;P177, "WARNING! OE below required minimum.",""))</f>
        <v/>
      </c>
      <c r="N175" s="10" t="s">
        <v>2202</v>
      </c>
      <c r="O175" s="5"/>
      <c r="P175" s="417">
        <f>F168+F177+F188+K166+K175+K185+P167+P170</f>
        <v>298803</v>
      </c>
      <c r="R175" s="3027"/>
      <c r="S175" s="3073"/>
      <c r="T175" s="3073"/>
      <c r="U175" s="3073"/>
      <c r="V175" s="3028"/>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3053" t="s">
        <v>52</v>
      </c>
      <c r="C176" s="3054"/>
      <c r="D176" s="3054"/>
      <c r="E176" s="3055"/>
      <c r="F176" s="3056"/>
      <c r="G176" s="3057"/>
      <c r="H176" s="1"/>
      <c r="I176" s="1"/>
      <c r="J176" s="13"/>
      <c r="K176" s="1"/>
      <c r="L176" s="1"/>
      <c r="M176" s="3060"/>
      <c r="N176" s="69" t="s">
        <v>2776</v>
      </c>
      <c r="O176" s="408">
        <f>+P175/O62</f>
        <v>4596.9692307692312</v>
      </c>
      <c r="Q176" s="926"/>
      <c r="R176" s="3027"/>
      <c r="S176" s="3073"/>
      <c r="T176" s="3073"/>
      <c r="U176" s="3073"/>
      <c r="V176" s="3028"/>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3051">
        <f>SUM(F171:G176)</f>
        <v>25000</v>
      </c>
      <c r="G177" s="3052"/>
      <c r="H177" s="1"/>
      <c r="I177" s="1"/>
      <c r="J177" s="13"/>
      <c r="K177" s="1"/>
      <c r="L177" s="1"/>
      <c r="M177" s="3060"/>
      <c r="O177" s="1042" t="s">
        <v>3757</v>
      </c>
      <c r="P177" s="10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260000</v>
      </c>
      <c r="R177" s="3027"/>
      <c r="S177" s="3073"/>
      <c r="T177" s="3073"/>
      <c r="U177" s="3073"/>
      <c r="V177" s="3028"/>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3060"/>
      <c r="N178" s="1"/>
      <c r="O178" s="1"/>
      <c r="P178" s="5"/>
      <c r="Q178" s="5"/>
      <c r="R178" s="3027"/>
      <c r="S178" s="3073"/>
      <c r="T178" s="3073"/>
      <c r="U178" s="3073"/>
      <c r="V178" s="3028"/>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1305</v>
      </c>
      <c r="C179" s="1"/>
      <c r="D179" s="9"/>
      <c r="E179" s="1"/>
      <c r="F179" s="1"/>
      <c r="G179" s="1"/>
      <c r="H179" s="1"/>
      <c r="I179" s="10" t="s">
        <v>1387</v>
      </c>
      <c r="J179" s="1561" t="s">
        <v>2773</v>
      </c>
      <c r="K179" s="1"/>
      <c r="L179" s="1"/>
      <c r="M179" s="1"/>
      <c r="N179" s="10" t="s">
        <v>3504</v>
      </c>
      <c r="O179" s="10"/>
      <c r="P179" s="2330">
        <f>P188</f>
        <v>23390</v>
      </c>
      <c r="Q179" s="927"/>
      <c r="R179" s="3027"/>
      <c r="S179" s="3073"/>
      <c r="T179" s="3073"/>
      <c r="U179" s="3073"/>
      <c r="V179" s="3028"/>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1616</v>
      </c>
      <c r="C180" s="1"/>
      <c r="D180" s="9"/>
      <c r="E180" s="1"/>
      <c r="F180" s="3067">
        <v>5000</v>
      </c>
      <c r="G180" s="3068"/>
      <c r="H180" s="1"/>
      <c r="I180" s="1" t="s">
        <v>1380</v>
      </c>
      <c r="J180" s="481">
        <f>K180/12/O62</f>
        <v>21.153846153846153</v>
      </c>
      <c r="K180" s="3049">
        <v>16500</v>
      </c>
      <c r="L180" s="3050"/>
      <c r="M180" s="3063" t="str">
        <f>IF(P179&lt;P188, "WARNING! RR proposed is below the DCA required minimum.","")</f>
        <v/>
      </c>
      <c r="N180" s="1064" t="s">
        <v>3765</v>
      </c>
      <c r="O180" s="1059"/>
      <c r="P180" s="1065">
        <f>P179/O188</f>
        <v>359.84615384615387</v>
      </c>
      <c r="Q180" s="2331"/>
      <c r="R180" s="3027"/>
      <c r="S180" s="3073"/>
      <c r="T180" s="3073"/>
      <c r="U180" s="3073"/>
      <c r="V180" s="3028"/>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1617</v>
      </c>
      <c r="C181" s="1"/>
      <c r="D181" s="9"/>
      <c r="E181" s="1"/>
      <c r="F181" s="3067">
        <v>15000</v>
      </c>
      <c r="G181" s="3068"/>
      <c r="H181" s="1"/>
      <c r="I181" s="1" t="s">
        <v>1381</v>
      </c>
      <c r="J181" s="481">
        <f>K181/12/O62</f>
        <v>0</v>
      </c>
      <c r="K181" s="3049"/>
      <c r="L181" s="3050"/>
      <c r="M181" s="3063"/>
      <c r="N181" s="3064" t="s">
        <v>3764</v>
      </c>
      <c r="O181" s="3065"/>
      <c r="P181" s="3066"/>
      <c r="R181" s="3027"/>
      <c r="S181" s="3073"/>
      <c r="T181" s="3073"/>
      <c r="U181" s="3073"/>
      <c r="V181" s="3028"/>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1618</v>
      </c>
      <c r="C182" s="1"/>
      <c r="D182" s="9"/>
      <c r="E182" s="1"/>
      <c r="F182" s="3067">
        <v>15000</v>
      </c>
      <c r="G182" s="3068"/>
      <c r="H182" s="1"/>
      <c r="I182" s="1" t="s">
        <v>2368</v>
      </c>
      <c r="J182" s="481">
        <f>K182/12/O62</f>
        <v>12.820512820512821</v>
      </c>
      <c r="K182" s="3049">
        <v>10000</v>
      </c>
      <c r="L182" s="3050"/>
      <c r="M182" s="3063"/>
      <c r="N182" s="1058" t="s">
        <v>2732</v>
      </c>
      <c r="O182" s="922" t="s">
        <v>3878</v>
      </c>
      <c r="P182" s="1060" t="s">
        <v>3459</v>
      </c>
      <c r="Q182" s="922"/>
      <c r="R182" s="3027"/>
      <c r="S182" s="3073"/>
      <c r="T182" s="3073"/>
      <c r="U182" s="3073"/>
      <c r="V182" s="3028"/>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1012</v>
      </c>
      <c r="C183" s="1"/>
      <c r="D183" s="9"/>
      <c r="E183" s="1"/>
      <c r="F183" s="3043">
        <v>4500</v>
      </c>
      <c r="G183" s="3044"/>
      <c r="H183" s="1"/>
      <c r="I183" s="1" t="s">
        <v>1383</v>
      </c>
      <c r="J183" s="1"/>
      <c r="K183" s="3049">
        <v>10000</v>
      </c>
      <c r="L183" s="3050"/>
      <c r="M183" s="3063"/>
      <c r="N183" s="672" t="s">
        <v>40</v>
      </c>
      <c r="O183" s="673"/>
      <c r="P183" s="674"/>
      <c r="Q183" s="673"/>
      <c r="R183" s="3027"/>
      <c r="S183" s="3073"/>
      <c r="T183" s="3073"/>
      <c r="U183" s="3073"/>
      <c r="V183" s="3028"/>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1013</v>
      </c>
      <c r="C184" s="1"/>
      <c r="D184" s="9"/>
      <c r="E184" s="1"/>
      <c r="F184" s="3043">
        <v>5000</v>
      </c>
      <c r="G184" s="3044"/>
      <c r="H184" s="1"/>
      <c r="I184" s="3045" t="s">
        <v>52</v>
      </c>
      <c r="J184" s="3046"/>
      <c r="K184" s="3047"/>
      <c r="L184" s="3048"/>
      <c r="M184" s="3063"/>
      <c r="N184" s="516" t="s">
        <v>3451</v>
      </c>
      <c r="O184" s="929" t="str">
        <f>CONCATENATE(SUM(JC48:JG48)," units x $",'DCA Underwriting Assumptions'!$Q$65," =")</f>
        <v>0 units x $350 =</v>
      </c>
      <c r="P184" s="675">
        <f>SUM(JC48:JG48)*'DCA Underwriting Assumptions'!$Q$65</f>
        <v>0</v>
      </c>
      <c r="Q184" s="929"/>
      <c r="R184" s="3027"/>
      <c r="S184" s="3073"/>
      <c r="T184" s="3073"/>
      <c r="U184" s="3073"/>
      <c r="V184" s="3028"/>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1014</v>
      </c>
      <c r="C185" s="1"/>
      <c r="D185" s="9"/>
      <c r="E185" s="1"/>
      <c r="F185" s="3043"/>
      <c r="G185" s="3044"/>
      <c r="H185" s="1"/>
      <c r="I185" s="1"/>
      <c r="J185" s="12" t="s">
        <v>193</v>
      </c>
      <c r="K185" s="3058">
        <f>SUM(K180:K184)</f>
        <v>36500</v>
      </c>
      <c r="L185" s="3059"/>
      <c r="M185" s="3063"/>
      <c r="N185" s="516" t="s">
        <v>3450</v>
      </c>
      <c r="O185" s="929" t="str">
        <f>CONCATENATE(SUM(JH48:JL48)," units x $",'DCA Underwriting Assumptions'!$Q$66," =")</f>
        <v>23 units x $250 =</v>
      </c>
      <c r="P185" s="675">
        <f>SUM(JH48:JL48)*'DCA Underwriting Assumptions'!$Q$66</f>
        <v>5750</v>
      </c>
      <c r="Q185" s="929"/>
      <c r="R185" s="3027"/>
      <c r="S185" s="3073"/>
      <c r="T185" s="3073"/>
      <c r="U185" s="3073"/>
      <c r="V185" s="3028"/>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876</v>
      </c>
      <c r="C186" s="1"/>
      <c r="D186" s="9"/>
      <c r="E186" s="1"/>
      <c r="F186" s="3043">
        <v>5000</v>
      </c>
      <c r="G186" s="3044"/>
      <c r="H186" s="1"/>
      <c r="I186" s="1"/>
      <c r="J186" s="13"/>
      <c r="K186" s="1"/>
      <c r="L186" s="1"/>
      <c r="M186" s="3063"/>
      <c r="N186" s="676" t="s">
        <v>3454</v>
      </c>
      <c r="O186" s="929" t="str">
        <f>CONCATENATE(SUM(JM48:JQ48)," units x $",'DCA Underwriting Assumptions'!$Q$67," =")</f>
        <v>42 units x $420 =</v>
      </c>
      <c r="P186" s="675">
        <f>SUM(JM48:JQ48)*'DCA Underwriting Assumptions'!$Q$67</f>
        <v>17640</v>
      </c>
      <c r="Q186" s="929"/>
      <c r="R186" s="3027"/>
      <c r="S186" s="3073"/>
      <c r="T186" s="3073"/>
      <c r="U186" s="3073"/>
      <c r="V186" s="3028"/>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3053" t="s">
        <v>52</v>
      </c>
      <c r="C187" s="3054"/>
      <c r="D187" s="3054"/>
      <c r="E187" s="3055"/>
      <c r="F187" s="3056">
        <v>1500</v>
      </c>
      <c r="G187" s="3057"/>
      <c r="H187" s="1"/>
      <c r="I187" s="1"/>
      <c r="J187" s="13"/>
      <c r="K187" s="1"/>
      <c r="L187" s="1"/>
      <c r="M187" s="1"/>
      <c r="N187" s="676" t="s">
        <v>3449</v>
      </c>
      <c r="O187" s="929" t="str">
        <f>CONCATENATE(O84," units x $",'DCA Underwriting Assumptions'!$Q$67," =")</f>
        <v>0 units x $420 =</v>
      </c>
      <c r="P187" s="675">
        <f>O84*'DCA Underwriting Assumptions'!$Q$67</f>
        <v>0</v>
      </c>
      <c r="Q187" s="929"/>
      <c r="R187" s="3027"/>
      <c r="S187" s="3073"/>
      <c r="T187" s="3073"/>
      <c r="U187" s="3073"/>
      <c r="V187" s="3028"/>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3061">
        <f>SUM(F180:G187)</f>
        <v>51000</v>
      </c>
      <c r="G188" s="3062"/>
      <c r="H188" s="1"/>
      <c r="I188" s="1"/>
      <c r="J188" s="13"/>
      <c r="K188" s="1"/>
      <c r="L188" s="1"/>
      <c r="M188" s="1"/>
      <c r="N188" s="1061" t="s">
        <v>2735</v>
      </c>
      <c r="O188" s="1062">
        <f>SUM(JC48:JG48)+SUM(JH48:JL48)+SUM(JM48:JQ48)+O84</f>
        <v>65</v>
      </c>
      <c r="P188" s="1063">
        <f>SUM(P184:P187)</f>
        <v>23390</v>
      </c>
      <c r="Q188" s="929"/>
      <c r="R188" s="3069"/>
      <c r="S188" s="3072"/>
      <c r="T188" s="3072"/>
      <c r="U188" s="3072"/>
      <c r="V188" s="3070"/>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2203</v>
      </c>
      <c r="O190" s="1"/>
      <c r="P190" s="417">
        <f>P175+P179</f>
        <v>322193</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1807</v>
      </c>
      <c r="B192" s="14" t="s">
        <v>577</v>
      </c>
      <c r="M192" s="14" t="s">
        <v>4154</v>
      </c>
      <c r="N192" s="14"/>
    </row>
    <row r="193" spans="1:296" ht="409.5" customHeight="1">
      <c r="A193" s="2823" t="s">
        <v>4733</v>
      </c>
      <c r="B193" s="2823"/>
      <c r="C193" s="2823"/>
      <c r="D193" s="2823"/>
      <c r="E193" s="2823"/>
      <c r="F193" s="2823"/>
      <c r="G193" s="2823"/>
      <c r="H193" s="2823"/>
      <c r="I193" s="2823"/>
      <c r="J193" s="2823"/>
      <c r="K193" s="2823"/>
      <c r="L193" s="2823"/>
      <c r="M193" s="2822"/>
      <c r="N193" s="2822"/>
      <c r="O193" s="2822"/>
      <c r="P193" s="2822"/>
      <c r="Q193" s="3076" t="s">
        <v>4153</v>
      </c>
      <c r="R193" s="2433"/>
      <c r="S193" s="2433"/>
      <c r="T193" s="2433"/>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3.9" customHeight="1">
      <c r="A203" s="1584"/>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3.9" customHeight="1">
      <c r="A211" s="1584"/>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3.9" customHeight="1">
      <c r="A223" s="1584"/>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eCgDHlAMCvVjwx6WJCBVsPhcl7NbidRMBHGek4tISinoi82kqbbWefeJ0Dv1HYD1/r3IitWn4klwLWBqEvtKIQ==" saltValue="X3A8vVRl3I8dG+m6fvYvAw==" spinCount="100000" sheet="1" objects="1" scenarios="1"/>
  <mergeCells count="466">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U47:V47"/>
    <mergeCell ref="U37:V37"/>
    <mergeCell ref="U38:V38"/>
    <mergeCell ref="U39:V39"/>
    <mergeCell ref="U40:V40"/>
    <mergeCell ref="U41:V41"/>
    <mergeCell ref="U42:V42"/>
    <mergeCell ref="U43:V43"/>
    <mergeCell ref="U44:V44"/>
    <mergeCell ref="U45:V45"/>
    <mergeCell ref="U29:V29"/>
    <mergeCell ref="U30:V30"/>
    <mergeCell ref="U31:V31"/>
    <mergeCell ref="U32:V32"/>
    <mergeCell ref="U33:V33"/>
    <mergeCell ref="U34:V34"/>
    <mergeCell ref="U35:V35"/>
    <mergeCell ref="U36:V36"/>
    <mergeCell ref="U46:V46"/>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N166:O166"/>
    <mergeCell ref="B167:E167"/>
    <mergeCell ref="F167:G167"/>
    <mergeCell ref="F168:G168"/>
    <mergeCell ref="F175:G175"/>
    <mergeCell ref="K175:L175"/>
    <mergeCell ref="M175:M178"/>
    <mergeCell ref="F172:G172"/>
    <mergeCell ref="K172:L172"/>
    <mergeCell ref="F173:G173"/>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C140:F140"/>
    <mergeCell ref="C145:F145"/>
    <mergeCell ref="C149:F149"/>
    <mergeCell ref="C127:F127"/>
    <mergeCell ref="C131:F131"/>
    <mergeCell ref="C136:F136"/>
    <mergeCell ref="C104:D110"/>
    <mergeCell ref="H122:I122"/>
    <mergeCell ref="C86:D94"/>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GC8:GC9"/>
    <mergeCell ref="GD8:GD9"/>
    <mergeCell ref="GE8:GE9"/>
    <mergeCell ref="GX8:GX9"/>
    <mergeCell ref="GY8:GY9"/>
    <mergeCell ref="GZ8:GZ9"/>
    <mergeCell ref="HA8:HA9"/>
    <mergeCell ref="HB8:HB9"/>
    <mergeCell ref="HC8:HC9"/>
    <mergeCell ref="GT8:GT9"/>
    <mergeCell ref="GU8:GU9"/>
    <mergeCell ref="GV8:GV9"/>
    <mergeCell ref="GW8:GW9"/>
    <mergeCell ref="FJ8:FJ9"/>
    <mergeCell ref="FK8:FK9"/>
    <mergeCell ref="FV8:FV9"/>
    <mergeCell ref="FW8:FW9"/>
    <mergeCell ref="FX8:FX9"/>
    <mergeCell ref="FY8:FY9"/>
    <mergeCell ref="FZ8:FZ9"/>
    <mergeCell ref="GA8:GA9"/>
    <mergeCell ref="GB8:GB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FG8:FG9"/>
    <mergeCell ref="FH8:FH9"/>
    <mergeCell ref="FI8:FI9"/>
    <mergeCell ref="EM4:EM9"/>
    <mergeCell ref="EN4:EN9"/>
    <mergeCell ref="EO4:EO9"/>
    <mergeCell ref="EP4:EP9"/>
    <mergeCell ref="EQ4:EQ9"/>
    <mergeCell ref="ER4:ER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M4:BM9"/>
    <mergeCell ref="BN4:BN9"/>
    <mergeCell ref="BO4:BO9"/>
    <mergeCell ref="BP4:BP9"/>
    <mergeCell ref="BQ4:BQ9"/>
    <mergeCell ref="BR4:BR9"/>
    <mergeCell ref="BG4:BG9"/>
    <mergeCell ref="BH4:BH9"/>
    <mergeCell ref="BI4:BI9"/>
    <mergeCell ref="BJ4:BJ9"/>
    <mergeCell ref="BK4:BK9"/>
    <mergeCell ref="BL4:BL9"/>
    <mergeCell ref="BB4:BB9"/>
    <mergeCell ref="BC4:BC9"/>
    <mergeCell ref="BD4:BD9"/>
    <mergeCell ref="BE4:BE9"/>
    <mergeCell ref="BF4:BF9"/>
    <mergeCell ref="AU4:AU9"/>
    <mergeCell ref="AV4:AV9"/>
    <mergeCell ref="AW4:AW9"/>
    <mergeCell ref="AX4:AX9"/>
    <mergeCell ref="AY4:AY9"/>
    <mergeCell ref="AZ4:AZ9"/>
    <mergeCell ref="AS4:AS9"/>
    <mergeCell ref="AT4:AT9"/>
    <mergeCell ref="AI4:AI9"/>
    <mergeCell ref="AJ4:AJ9"/>
    <mergeCell ref="AK4:AK9"/>
    <mergeCell ref="AL4:AL9"/>
    <mergeCell ref="AM4:AM9"/>
    <mergeCell ref="AN4:AN9"/>
    <mergeCell ref="BA4:BA9"/>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8" fitToHeight="0" orientation="landscape"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A31" zoomScaleNormal="100" workbookViewId="0">
      <selection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3081" t="str">
        <f>CONCATENATE("PART SEVEN - OPERATING PRO FORMA","  -  ",'Part I-Project Information'!$O$6," ",'Part I-Project Information'!$F$34,", ",'Part I-Project Information'!F38,", ",'Part I-Project Information'!J39," County")</f>
        <v>PART SEVEN - OPERATING PRO FORMA  -  2018-013 Tindall Fields III, Macon, Bibb County</v>
      </c>
      <c r="B1" s="3082"/>
      <c r="C1" s="3082"/>
      <c r="D1" s="3082"/>
      <c r="E1" s="3082"/>
      <c r="F1" s="3082"/>
      <c r="G1" s="3082"/>
      <c r="H1" s="3082"/>
      <c r="I1" s="3082"/>
      <c r="J1" s="3082"/>
      <c r="K1" s="3083"/>
      <c r="L1" s="10"/>
      <c r="M1" s="10"/>
      <c r="N1" s="3084" t="str">
        <f>A1</f>
        <v>PART SEVEN - OPERATING PRO FORMA  -  2018-013 Tindall Fields III, Macon, Bibb County</v>
      </c>
      <c r="O1" s="3084"/>
      <c r="P1" s="10"/>
    </row>
    <row r="2" spans="1:19" ht="13.5" customHeight="1">
      <c r="A2" s="511"/>
      <c r="B2" s="511"/>
      <c r="C2" s="511"/>
      <c r="D2" s="511"/>
      <c r="E2" s="511"/>
      <c r="F2" s="511"/>
      <c r="G2" s="511"/>
      <c r="H2" s="511"/>
      <c r="I2" s="511"/>
      <c r="J2" s="511"/>
      <c r="K2" s="511"/>
      <c r="N2" s="3085" t="s">
        <v>1859</v>
      </c>
      <c r="O2" s="3085"/>
    </row>
    <row r="3" spans="1:19" ht="13.5">
      <c r="A3" s="14" t="s">
        <v>91</v>
      </c>
      <c r="D3" s="1362" t="s">
        <v>81</v>
      </c>
      <c r="E3" s="225"/>
      <c r="F3" s="1363" t="s">
        <v>4232</v>
      </c>
      <c r="N3" s="14" t="str">
        <f>A3</f>
        <v>I.  OPERATING ASSUMPTIONS</v>
      </c>
      <c r="O3" s="32"/>
    </row>
    <row r="4" spans="1:19" ht="2.4500000000000002" customHeight="1">
      <c r="A4" s="17"/>
      <c r="B4" s="17"/>
      <c r="C4" s="17"/>
      <c r="H4" s="17"/>
      <c r="I4" s="17"/>
    </row>
    <row r="5" spans="1:19" ht="13.5" customHeight="1">
      <c r="A5" s="17" t="s">
        <v>2204</v>
      </c>
      <c r="B5" s="80">
        <v>0.02</v>
      </c>
      <c r="C5" s="17"/>
      <c r="D5" s="3040" t="s">
        <v>4233</v>
      </c>
      <c r="E5" s="3040"/>
      <c r="F5" s="3040"/>
      <c r="G5" s="2272">
        <v>12500</v>
      </c>
      <c r="H5" s="99" t="s">
        <v>1922</v>
      </c>
      <c r="K5" s="104">
        <f>IF(($B$14+$B$15+$B$16+$B$17)=0,"",B28/($B$14+$B$15+$B$16+$B$17))</f>
        <v>-2.8347087993544708E-2</v>
      </c>
      <c r="N5" s="3034"/>
      <c r="O5" s="3035"/>
    </row>
    <row r="6" spans="1:19">
      <c r="A6" s="17" t="s">
        <v>2205</v>
      </c>
      <c r="B6" s="80">
        <v>0.03</v>
      </c>
      <c r="C6" s="17"/>
      <c r="D6" s="3040"/>
      <c r="E6" s="3040"/>
      <c r="F6" s="3040"/>
      <c r="G6" s="1364">
        <f>IF(OR('Part III-Sources of Funds'!B11="Yes",'Part III-Sources of Funds'!E11&gt;0),'DCA Underwriting Assumptions'!$Q$95,0)</f>
        <v>0</v>
      </c>
      <c r="H6" s="17"/>
      <c r="I6" s="17"/>
      <c r="J6" s="17"/>
      <c r="K6" s="17"/>
      <c r="N6" s="3027"/>
      <c r="O6" s="3028"/>
    </row>
    <row r="7" spans="1:19">
      <c r="A7" s="17" t="s">
        <v>2207</v>
      </c>
      <c r="B7" s="80">
        <v>0.03</v>
      </c>
      <c r="C7" s="17"/>
      <c r="D7" s="82" t="s">
        <v>272</v>
      </c>
      <c r="G7" s="84"/>
      <c r="H7" s="99" t="s">
        <v>2390</v>
      </c>
      <c r="K7" s="104">
        <f>IF(($B$14+$B$15+$B$16+$B$17)=0,"",-B20/($B$14+$B$15+$B$16+$B$17))</f>
        <v>6.8985473341090411E-2</v>
      </c>
      <c r="N7" s="3027"/>
      <c r="O7" s="3028"/>
    </row>
    <row r="8" spans="1:19" ht="13.15" customHeight="1">
      <c r="A8" s="17" t="s">
        <v>2206</v>
      </c>
      <c r="B8" s="2273">
        <v>7.0000000000000007E-2</v>
      </c>
      <c r="C8" s="17"/>
      <c r="D8" s="81" t="s">
        <v>2525</v>
      </c>
      <c r="G8" s="2274" t="s">
        <v>3010</v>
      </c>
      <c r="H8" s="169" t="s">
        <v>1456</v>
      </c>
      <c r="K8" s="2275">
        <v>30420</v>
      </c>
      <c r="N8" s="3027"/>
      <c r="O8" s="3028"/>
    </row>
    <row r="9" spans="1:19">
      <c r="A9" s="17" t="s">
        <v>1430</v>
      </c>
      <c r="B9" s="80">
        <v>0.02</v>
      </c>
      <c r="D9" s="81" t="s">
        <v>1731</v>
      </c>
      <c r="G9" s="2274" t="s">
        <v>3013</v>
      </c>
      <c r="H9" s="169" t="s">
        <v>2372</v>
      </c>
      <c r="K9" s="2276"/>
      <c r="N9" s="3069"/>
      <c r="O9" s="3070"/>
    </row>
    <row r="10" spans="1:19" ht="13.5" customHeight="1"/>
    <row r="11" spans="1:19">
      <c r="A11" s="14" t="s">
        <v>92</v>
      </c>
      <c r="D11" s="1185"/>
      <c r="N11" s="14" t="str">
        <f>A11</f>
        <v>II.  OPERATING PRO FORMA</v>
      </c>
    </row>
    <row r="12" spans="1:19" ht="2.4500000000000002" customHeight="1"/>
    <row r="13" spans="1:19" ht="14.45" customHeight="1">
      <c r="A13" s="14" t="s">
        <v>2496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2710" t="s">
        <v>2641</v>
      </c>
      <c r="O13" s="2710"/>
    </row>
    <row r="14" spans="1:19" ht="13.15" customHeight="1">
      <c r="A14" s="19" t="s">
        <v>2420</v>
      </c>
      <c r="B14" s="20">
        <f>'Part VI-Revenues &amp; Expenses'!$L$49</f>
        <v>464856</v>
      </c>
      <c r="C14" s="20">
        <f t="shared" ref="C14:K14" si="1">$B$14*(1+$B$5)^(C13-1)</f>
        <v>474153.12</v>
      </c>
      <c r="D14" s="20">
        <f t="shared" si="1"/>
        <v>483636.18239999999</v>
      </c>
      <c r="E14" s="20">
        <f t="shared" si="1"/>
        <v>493308.90604799998</v>
      </c>
      <c r="F14" s="20">
        <f t="shared" si="1"/>
        <v>503175.08416895999</v>
      </c>
      <c r="G14" s="20">
        <f t="shared" si="1"/>
        <v>513238.58585233922</v>
      </c>
      <c r="H14" s="20">
        <f t="shared" si="1"/>
        <v>523503.35756938602</v>
      </c>
      <c r="I14" s="20">
        <f t="shared" si="1"/>
        <v>533973.42472077359</v>
      </c>
      <c r="J14" s="20">
        <f t="shared" si="1"/>
        <v>544652.89321518911</v>
      </c>
      <c r="K14" s="21">
        <f t="shared" si="1"/>
        <v>555545.95107949292</v>
      </c>
      <c r="N14" s="3034"/>
      <c r="O14" s="3035"/>
      <c r="S14" s="3077" t="s">
        <v>4238</v>
      </c>
    </row>
    <row r="15" spans="1:19" ht="13.15" customHeight="1">
      <c r="A15" s="22" t="s">
        <v>1026</v>
      </c>
      <c r="B15" s="23">
        <f>MIN(B14*B9,'Part VI-Revenues &amp; Expenses'!$H$122)</f>
        <v>9297.1200000000008</v>
      </c>
      <c r="C15" s="23">
        <f t="shared" ref="C15:K15" si="2">$B$15*(1+$B$5)^(C13-1)</f>
        <v>9483.0624000000007</v>
      </c>
      <c r="D15" s="23">
        <f t="shared" si="2"/>
        <v>9672.723648000001</v>
      </c>
      <c r="E15" s="23">
        <f t="shared" si="2"/>
        <v>9866.1781209599994</v>
      </c>
      <c r="F15" s="23">
        <f t="shared" si="2"/>
        <v>10063.501683379201</v>
      </c>
      <c r="G15" s="23">
        <f t="shared" si="2"/>
        <v>10264.771717046786</v>
      </c>
      <c r="H15" s="23">
        <f t="shared" si="2"/>
        <v>10470.067151387721</v>
      </c>
      <c r="I15" s="23">
        <f t="shared" si="2"/>
        <v>10679.468494415474</v>
      </c>
      <c r="J15" s="23">
        <f t="shared" si="2"/>
        <v>10893.057864303784</v>
      </c>
      <c r="K15" s="24">
        <f t="shared" si="2"/>
        <v>11110.91902158986</v>
      </c>
      <c r="N15" s="3027"/>
      <c r="O15" s="3028"/>
      <c r="S15" s="3078"/>
    </row>
    <row r="16" spans="1:19" ht="13.15" customHeight="1">
      <c r="A16" s="22" t="s">
        <v>2421</v>
      </c>
      <c r="B16" s="23">
        <f t="shared" ref="B16:K16" si="3">-(B14+B15)*$B$8</f>
        <v>-33190.718400000005</v>
      </c>
      <c r="C16" s="23">
        <f t="shared" si="3"/>
        <v>-33854.532768000005</v>
      </c>
      <c r="D16" s="23">
        <f t="shared" si="3"/>
        <v>-34531.623423360004</v>
      </c>
      <c r="E16" s="23">
        <f t="shared" si="3"/>
        <v>-35222.255891827204</v>
      </c>
      <c r="F16" s="23">
        <f t="shared" si="3"/>
        <v>-35926.701009663746</v>
      </c>
      <c r="G16" s="23">
        <f t="shared" si="3"/>
        <v>-36645.235029857024</v>
      </c>
      <c r="H16" s="23">
        <f t="shared" si="3"/>
        <v>-37378.139730454161</v>
      </c>
      <c r="I16" s="23">
        <f t="shared" si="3"/>
        <v>-38125.702525063243</v>
      </c>
      <c r="J16" s="23">
        <f t="shared" si="3"/>
        <v>-38888.216575564511</v>
      </c>
      <c r="K16" s="24">
        <f t="shared" si="3"/>
        <v>-39665.980907075806</v>
      </c>
      <c r="N16" s="3027"/>
      <c r="O16" s="3028"/>
      <c r="Q16" s="3080" t="s">
        <v>3913</v>
      </c>
      <c r="R16" s="3080" t="s">
        <v>4237</v>
      </c>
      <c r="S16" s="3078"/>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027"/>
      <c r="O17" s="3028"/>
      <c r="Q17" s="3080"/>
      <c r="R17" s="3080"/>
      <c r="S17" s="3079"/>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027"/>
      <c r="O18" s="3028"/>
    </row>
    <row r="19" spans="1:19" ht="13.15" customHeight="1">
      <c r="A19" s="22" t="s">
        <v>620</v>
      </c>
      <c r="B19" s="23">
        <f>-('Part VI-Revenues &amp; Expenses'!$P$175-'Part VI-Revenues &amp; Expenses'!$P$170)</f>
        <v>-268383</v>
      </c>
      <c r="C19" s="23">
        <f t="shared" ref="C19:K19" si="4">$B$19*(1+$B$6)^(C13-1)</f>
        <v>-276434.49</v>
      </c>
      <c r="D19" s="23">
        <f t="shared" si="4"/>
        <v>-284727.52470000001</v>
      </c>
      <c r="E19" s="23">
        <f t="shared" si="4"/>
        <v>-293269.35044100002</v>
      </c>
      <c r="F19" s="23">
        <f t="shared" si="4"/>
        <v>-302067.43095422996</v>
      </c>
      <c r="G19" s="23">
        <f t="shared" si="4"/>
        <v>-311129.45388285688</v>
      </c>
      <c r="H19" s="23">
        <f t="shared" si="4"/>
        <v>-320463.33749934257</v>
      </c>
      <c r="I19" s="23">
        <f t="shared" si="4"/>
        <v>-330077.23762432288</v>
      </c>
      <c r="J19" s="23">
        <f t="shared" si="4"/>
        <v>-339979.55475305254</v>
      </c>
      <c r="K19" s="24">
        <f t="shared" si="4"/>
        <v>-350178.9413956441</v>
      </c>
      <c r="N19" s="3027"/>
      <c r="O19" s="3028"/>
      <c r="Q19" s="63">
        <v>1</v>
      </c>
      <c r="R19" s="1197">
        <f>-B29</f>
        <v>0</v>
      </c>
      <c r="S19" s="1197">
        <f>B30+R19</f>
        <v>44173.330188278131</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-30420</v>
      </c>
      <c r="C20" s="23">
        <f>IF(AND('Part VII-Pro Forma'!$G$8="Yes",'Part VII-Pro Forma'!$G$9="Yes"),"Choose One!",IF('Part VII-Pro Forma'!$G$8="Yes",ROUND((-$K$8*(1+'Part VII-Pro Forma'!$B$6)^('Part VII-Pro Forma'!C13-1)),),IF('Part VII-Pro Forma'!$G$9="Yes",ROUND((-(SUM(C14:C17)*'Part VII-Pro Forma'!$K$9)),),"Choose mgt fee")))</f>
        <v>-31333</v>
      </c>
      <c r="D20" s="23">
        <f>IF(AND('Part VII-Pro Forma'!$G$8="Yes",'Part VII-Pro Forma'!$G$9="Yes"),"Choose One!",IF('Part VII-Pro Forma'!$G$8="Yes",ROUND((-$K$8*(1+'Part VII-Pro Forma'!$B$6)^('Part VII-Pro Forma'!D13-1)),),IF('Part VII-Pro Forma'!$G$9="Yes",ROUND((-(SUM(D14:D17)*'Part VII-Pro Forma'!$K$9)),),"Choose mgt fee")))</f>
        <v>-32273</v>
      </c>
      <c r="E20" s="23">
        <f>IF(AND('Part VII-Pro Forma'!$G$8="Yes",'Part VII-Pro Forma'!$G$9="Yes"),"Choose One!",IF('Part VII-Pro Forma'!$G$8="Yes",ROUND((-$K$8*(1+'Part VII-Pro Forma'!$B$6)^('Part VII-Pro Forma'!E13-1)),),IF('Part VII-Pro Forma'!$G$9="Yes",ROUND((-(SUM(E14:E17)*'Part VII-Pro Forma'!$K$9)),),"Choose mgt fee")))</f>
        <v>-33241</v>
      </c>
      <c r="F20" s="23">
        <f>IF(AND('Part VII-Pro Forma'!$G$8="Yes",'Part VII-Pro Forma'!$G$9="Yes"),"Choose One!",IF('Part VII-Pro Forma'!$G$8="Yes",ROUND((-$K$8*(1+'Part VII-Pro Forma'!$B$6)^('Part VII-Pro Forma'!F13-1)),),IF('Part VII-Pro Forma'!$G$9="Yes",ROUND((-(SUM(F14:F17)*'Part VII-Pro Forma'!$K$9)),),"Choose mgt fee")))</f>
        <v>-34238</v>
      </c>
      <c r="G20" s="23">
        <f>IF(AND('Part VII-Pro Forma'!$G$8="Yes",'Part VII-Pro Forma'!$G$9="Yes"),"Choose One!",IF('Part VII-Pro Forma'!$G$8="Yes",ROUND((-$K$8*(1+'Part VII-Pro Forma'!$B$6)^('Part VII-Pro Forma'!G13-1)),),IF('Part VII-Pro Forma'!$G$9="Yes",ROUND((-(SUM(G14:G17)*'Part VII-Pro Forma'!$K$9)),),"Choose mgt fee")))</f>
        <v>-35265</v>
      </c>
      <c r="H20" s="23">
        <f>IF(AND('Part VII-Pro Forma'!$G$8="Yes",'Part VII-Pro Forma'!$G$9="Yes"),"Choose One!",IF('Part VII-Pro Forma'!$G$8="Yes",ROUND((-$K$8*(1+'Part VII-Pro Forma'!$B$6)^('Part VII-Pro Forma'!H13-1)),),IF('Part VII-Pro Forma'!$G$9="Yes",ROUND((-(SUM(H14:H17)*'Part VII-Pro Forma'!$K$9)),),"Choose mgt fee")))</f>
        <v>-36323</v>
      </c>
      <c r="I20" s="23">
        <f>IF(AND('Part VII-Pro Forma'!$G$8="Yes",'Part VII-Pro Forma'!$G$9="Yes"),"Choose One!",IF('Part VII-Pro Forma'!$G$8="Yes",ROUND((-$K$8*(1+'Part VII-Pro Forma'!$B$6)^('Part VII-Pro Forma'!I13-1)),),IF('Part VII-Pro Forma'!$G$9="Yes",ROUND((-(SUM(I14:I17)*'Part VII-Pro Forma'!$K$9)),),"Choose mgt fee")))</f>
        <v>-37413</v>
      </c>
      <c r="J20" s="23">
        <f>IF(AND('Part VII-Pro Forma'!$G$8="Yes",'Part VII-Pro Forma'!$G$9="Yes"),"Choose One!",IF('Part VII-Pro Forma'!$G$8="Yes",ROUND((-$K$8*(1+'Part VII-Pro Forma'!$B$6)^('Part VII-Pro Forma'!J13-1)),),IF('Part VII-Pro Forma'!$G$9="Yes",ROUND((-(SUM(J14:J17)*'Part VII-Pro Forma'!$K$9)),),"Choose mgt fee")))</f>
        <v>-38535</v>
      </c>
      <c r="K20" s="23">
        <f>IF(AND('Part VII-Pro Forma'!$G$8="Yes",'Part VII-Pro Forma'!$G$9="Yes"),"Choose One!",IF('Part VII-Pro Forma'!$G$8="Yes",ROUND((-$K$8*(1+'Part VII-Pro Forma'!$B$6)^('Part VII-Pro Forma'!K13-1)),),IF('Part VII-Pro Forma'!$G$9="Yes",ROUND((-(SUM(K14:K17)*'Part VII-Pro Forma'!$K$9)),),"Choose mgt fee")))</f>
        <v>-39691</v>
      </c>
      <c r="N20" s="3027"/>
      <c r="O20" s="3028"/>
      <c r="Q20" s="63">
        <v>2</v>
      </c>
      <c r="R20" s="1197">
        <f>-SUM($B$29:$C$29)</f>
        <v>0</v>
      </c>
      <c r="S20" s="1197">
        <f>SUM($B$30:$C$30)+R20</f>
        <v>87499.718408556306</v>
      </c>
    </row>
    <row r="21" spans="1:19" ht="13.15" customHeight="1">
      <c r="A21" s="22" t="s">
        <v>1214</v>
      </c>
      <c r="B21" s="23">
        <f>-('Part VI-Revenues &amp; Expenses'!$P$179)</f>
        <v>-23390</v>
      </c>
      <c r="C21" s="23">
        <f t="shared" ref="C21:K21" si="5">$B$21*(1+$B$7)^(C13-1)</f>
        <v>-24091.7</v>
      </c>
      <c r="D21" s="23">
        <f t="shared" si="5"/>
        <v>-24814.450999999997</v>
      </c>
      <c r="E21" s="23">
        <f t="shared" si="5"/>
        <v>-25558.884529999999</v>
      </c>
      <c r="F21" s="23">
        <f t="shared" si="5"/>
        <v>-26325.651065899998</v>
      </c>
      <c r="G21" s="23">
        <f t="shared" si="5"/>
        <v>-27115.420597876997</v>
      </c>
      <c r="H21" s="23">
        <f t="shared" si="5"/>
        <v>-27928.883215813308</v>
      </c>
      <c r="I21" s="23">
        <f t="shared" si="5"/>
        <v>-28766.74971228771</v>
      </c>
      <c r="J21" s="23">
        <f t="shared" si="5"/>
        <v>-29629.752203656335</v>
      </c>
      <c r="K21" s="24">
        <f t="shared" si="5"/>
        <v>-30518.644769766026</v>
      </c>
      <c r="N21" s="3027"/>
      <c r="O21" s="3028"/>
      <c r="Q21" s="63">
        <v>3</v>
      </c>
      <c r="R21" s="1197">
        <f>-SUM($B$29:$D$29)</f>
        <v>0</v>
      </c>
      <c r="S21" s="1197">
        <f>SUM($B$30:$D$30)+R21</f>
        <v>129865.95392147443</v>
      </c>
    </row>
    <row r="22" spans="1:19" ht="13.15" customHeight="1">
      <c r="A22" s="22" t="s">
        <v>1215</v>
      </c>
      <c r="B22" s="23">
        <f t="shared" ref="B22:K22" si="6">SUM(B14:B21)</f>
        <v>118769.40159999998</v>
      </c>
      <c r="C22" s="23">
        <f t="shared" si="6"/>
        <v>117922.45963200003</v>
      </c>
      <c r="D22" s="23">
        <f t="shared" si="6"/>
        <v>116962.30692463997</v>
      </c>
      <c r="E22" s="23">
        <f t="shared" si="6"/>
        <v>115883.59330613275</v>
      </c>
      <c r="F22" s="23">
        <f t="shared" si="6"/>
        <v>114680.80282254546</v>
      </c>
      <c r="G22" s="23">
        <f t="shared" si="6"/>
        <v>113348.24805879511</v>
      </c>
      <c r="H22" s="23">
        <f t="shared" si="6"/>
        <v>111880.06427516363</v>
      </c>
      <c r="I22" s="23">
        <f t="shared" si="6"/>
        <v>110270.20335351527</v>
      </c>
      <c r="J22" s="23">
        <f t="shared" si="6"/>
        <v>108513.42754721953</v>
      </c>
      <c r="K22" s="24">
        <f t="shared" si="6"/>
        <v>106602.30302859691</v>
      </c>
      <c r="N22" s="3027"/>
      <c r="O22" s="3028"/>
      <c r="Q22" s="1040">
        <v>4</v>
      </c>
      <c r="R22" s="1197">
        <f>-SUM($B$29:$E$29)</f>
        <v>0</v>
      </c>
      <c r="S22" s="1197">
        <f>SUM($B$30:$E$30)+R22</f>
        <v>171153.47581588532</v>
      </c>
    </row>
    <row r="23" spans="1:19" ht="13.15" customHeight="1">
      <c r="A23" s="435" t="s">
        <v>1603</v>
      </c>
      <c r="B23" s="2277">
        <f>IF('Part III-Sources of Funds'!$N$37="", 0,-'Part III-Sources of Funds'!$N$37)</f>
        <v>-62096.071411721852</v>
      </c>
      <c r="C23" s="2277">
        <f>IF('Part III-Sources of Funds'!$N$37="", 0,-'Part III-Sources of Funds'!$N$37)</f>
        <v>-62096.071411721852</v>
      </c>
      <c r="D23" s="2277">
        <f>IF('Part III-Sources of Funds'!$N$37="", 0,-'Part III-Sources of Funds'!$N$37)</f>
        <v>-62096.071411721852</v>
      </c>
      <c r="E23" s="2277">
        <f>IF('Part III-Sources of Funds'!$N$37="", 0,-'Part III-Sources of Funds'!$N$37)</f>
        <v>-62096.071411721852</v>
      </c>
      <c r="F23" s="2277">
        <f>IF('Part III-Sources of Funds'!$N$37="", 0,-'Part III-Sources of Funds'!$N$37)</f>
        <v>-62096.071411721852</v>
      </c>
      <c r="G23" s="2277">
        <f>IF('Part III-Sources of Funds'!$N$37="", 0,-'Part III-Sources of Funds'!$N$37)</f>
        <v>-62096.071411721852</v>
      </c>
      <c r="H23" s="2277">
        <f>IF('Part III-Sources of Funds'!$N$37="", 0,-'Part III-Sources of Funds'!$N$37)</f>
        <v>-62096.071411721852</v>
      </c>
      <c r="I23" s="2277">
        <f>IF('Part III-Sources of Funds'!$N$37="", 0,-'Part III-Sources of Funds'!$N$37)</f>
        <v>-62096.071411721852</v>
      </c>
      <c r="J23" s="2277">
        <f>IF('Part III-Sources of Funds'!$N$37="", 0,-'Part III-Sources of Funds'!$N$37)</f>
        <v>-62096.071411721852</v>
      </c>
      <c r="K23" s="2277">
        <f>IF('Part III-Sources of Funds'!$N$37="", 0,-'Part III-Sources of Funds'!$N$37)</f>
        <v>-62096.071411721852</v>
      </c>
      <c r="N23" s="3027"/>
      <c r="O23" s="3028"/>
      <c r="Q23" s="1040">
        <v>5</v>
      </c>
      <c r="R23" s="1197">
        <f>-SUM($B$29:$F$29)</f>
        <v>0</v>
      </c>
      <c r="S23" s="1197">
        <f>SUM($B$30:$F$30)+R23</f>
        <v>211238.20722670894</v>
      </c>
    </row>
    <row r="24" spans="1:19" ht="13.15" customHeight="1">
      <c r="A24" s="435" t="s">
        <v>1604</v>
      </c>
      <c r="B24" s="2278">
        <f>IF('Part III-Sources of Funds'!$N$38="", 0,-'Part III-Sources of Funds'!$N$38)</f>
        <v>0</v>
      </c>
      <c r="C24" s="2278">
        <f>IF('Part III-Sources of Funds'!$N$38="", 0,-'Part III-Sources of Funds'!$N$38)</f>
        <v>0</v>
      </c>
      <c r="D24" s="2278">
        <f>IF('Part III-Sources of Funds'!$N$38="", 0,-'Part III-Sources of Funds'!$N$38)</f>
        <v>0</v>
      </c>
      <c r="E24" s="2278">
        <f>IF('Part III-Sources of Funds'!$N$38="", 0,-'Part III-Sources of Funds'!$N$38)</f>
        <v>0</v>
      </c>
      <c r="F24" s="2278">
        <f>IF('Part III-Sources of Funds'!$N$38="", 0,-'Part III-Sources of Funds'!$N$38)</f>
        <v>0</v>
      </c>
      <c r="G24" s="2278">
        <f>IF('Part III-Sources of Funds'!$N$38="", 0,-'Part III-Sources of Funds'!$N$38)</f>
        <v>0</v>
      </c>
      <c r="H24" s="2278">
        <f>IF('Part III-Sources of Funds'!$N$38="", 0,-'Part III-Sources of Funds'!$N$38)</f>
        <v>0</v>
      </c>
      <c r="I24" s="2278">
        <f>IF('Part III-Sources of Funds'!$N$38="", 0,-'Part III-Sources of Funds'!$N$38)</f>
        <v>0</v>
      </c>
      <c r="J24" s="2278">
        <f>IF('Part III-Sources of Funds'!$N$38="", 0,-'Part III-Sources of Funds'!$N$38)</f>
        <v>0</v>
      </c>
      <c r="K24" s="2278">
        <f>IF('Part III-Sources of Funds'!$N$38="", 0,-'Part III-Sources of Funds'!$N$38)</f>
        <v>0</v>
      </c>
      <c r="N24" s="3027"/>
      <c r="O24" s="3028"/>
      <c r="Q24" s="1040">
        <v>6</v>
      </c>
      <c r="R24" s="1197">
        <f>-SUM($B$29:$G$29)</f>
        <v>0</v>
      </c>
      <c r="S24" s="1197">
        <f>SUM($B$30:$G$30)+R24</f>
        <v>249990.38387378221</v>
      </c>
    </row>
    <row r="25" spans="1:19" ht="13.15" customHeight="1">
      <c r="A25" s="435" t="s">
        <v>1605</v>
      </c>
      <c r="B25" s="2278">
        <f>IF('Part III-Sources of Funds'!$N$39="", 0,-'Part III-Sources of Funds'!$N$39)</f>
        <v>0</v>
      </c>
      <c r="C25" s="2278">
        <f>IF('Part III-Sources of Funds'!$N$39="", 0,-'Part III-Sources of Funds'!$N$39)</f>
        <v>0</v>
      </c>
      <c r="D25" s="2278">
        <f>IF('Part III-Sources of Funds'!$N$39="", 0,-'Part III-Sources of Funds'!$N$39)</f>
        <v>0</v>
      </c>
      <c r="E25" s="2278">
        <f>IF('Part III-Sources of Funds'!$N$39="", 0,-'Part III-Sources of Funds'!$N$39)</f>
        <v>0</v>
      </c>
      <c r="F25" s="2278">
        <f>IF('Part III-Sources of Funds'!$N$39="", 0,-'Part III-Sources of Funds'!$N$39)</f>
        <v>0</v>
      </c>
      <c r="G25" s="2278">
        <f>IF('Part III-Sources of Funds'!$N$39="", 0,-'Part III-Sources of Funds'!$N$39)</f>
        <v>0</v>
      </c>
      <c r="H25" s="2278">
        <f>IF('Part III-Sources of Funds'!$N$39="", 0,-'Part III-Sources of Funds'!$N$39)</f>
        <v>0</v>
      </c>
      <c r="I25" s="2278">
        <f>IF('Part III-Sources of Funds'!$N$39="", 0,-'Part III-Sources of Funds'!$N$39)</f>
        <v>0</v>
      </c>
      <c r="J25" s="2278">
        <f>IF('Part III-Sources of Funds'!$N$39="", 0,-'Part III-Sources of Funds'!$N$39)</f>
        <v>0</v>
      </c>
      <c r="K25" s="2278">
        <f>IF('Part III-Sources of Funds'!$N$39="", 0,-'Part III-Sources of Funds'!$N$39)</f>
        <v>0</v>
      </c>
      <c r="N25" s="3027"/>
      <c r="O25" s="3028"/>
      <c r="Q25" s="1040">
        <v>7</v>
      </c>
      <c r="R25" s="1197">
        <f>-SUM($B$29:$H$29)</f>
        <v>0</v>
      </c>
      <c r="S25" s="1197">
        <f>SUM($B$30:$H$30)+R25</f>
        <v>287274.376737224</v>
      </c>
    </row>
    <row r="26" spans="1:19" ht="13.15" customHeight="1">
      <c r="A26" s="435" t="s">
        <v>3881</v>
      </c>
      <c r="B26" s="2278">
        <f>IF('Part III-Sources of Funds'!$N$40="", 0,-'Part III-Sources of Funds'!$N$40)</f>
        <v>0</v>
      </c>
      <c r="C26" s="2278">
        <f>IF('Part III-Sources of Funds'!$N$40="", 0,-'Part III-Sources of Funds'!$N$40)</f>
        <v>0</v>
      </c>
      <c r="D26" s="2278">
        <f>IF('Part III-Sources of Funds'!$N$40="", 0,-'Part III-Sources of Funds'!$N$40)</f>
        <v>0</v>
      </c>
      <c r="E26" s="2278">
        <f>IF('Part III-Sources of Funds'!$N$40="", 0,-'Part III-Sources of Funds'!$N$40)</f>
        <v>0</v>
      </c>
      <c r="F26" s="2278">
        <f>IF('Part III-Sources of Funds'!$N$40="", 0,-'Part III-Sources of Funds'!$N$40)</f>
        <v>0</v>
      </c>
      <c r="G26" s="2278">
        <f>IF('Part III-Sources of Funds'!$N$40="", 0,-'Part III-Sources of Funds'!$N$40)</f>
        <v>0</v>
      </c>
      <c r="H26" s="2278">
        <f>IF('Part III-Sources of Funds'!$N$40="", 0,-'Part III-Sources of Funds'!$N$40)</f>
        <v>0</v>
      </c>
      <c r="I26" s="2278">
        <f>IF('Part III-Sources of Funds'!$N$40="", 0,-'Part III-Sources of Funds'!$N$40)</f>
        <v>0</v>
      </c>
      <c r="J26" s="2278">
        <f>IF('Part III-Sources of Funds'!$N$40="", 0,-'Part III-Sources of Funds'!$N$40)</f>
        <v>0</v>
      </c>
      <c r="K26" s="2278">
        <f>IF('Part III-Sources of Funds'!$N$40="", 0,-'Part III-Sources of Funds'!$N$40)</f>
        <v>0</v>
      </c>
      <c r="N26" s="3027"/>
      <c r="O26" s="3028"/>
      <c r="Q26" s="1040">
        <v>8</v>
      </c>
      <c r="R26" s="1197">
        <f>-SUM($B$29:$I$29)</f>
        <v>0</v>
      </c>
      <c r="S26" s="1197">
        <f>SUM($B$30:$I$30)+R26</f>
        <v>322948.50867901742</v>
      </c>
    </row>
    <row r="27" spans="1:19" ht="13.15" customHeight="1">
      <c r="A27" s="22" t="s">
        <v>771</v>
      </c>
      <c r="B27" s="2279"/>
      <c r="C27" s="2279"/>
      <c r="D27" s="2279"/>
      <c r="E27" s="2279"/>
      <c r="F27" s="2279"/>
      <c r="G27" s="2279"/>
      <c r="H27" s="2279"/>
      <c r="I27" s="2279"/>
      <c r="J27" s="2279"/>
      <c r="K27" s="2279"/>
      <c r="N27" s="3027"/>
      <c r="O27" s="3028"/>
      <c r="Q27" s="1040">
        <v>9</v>
      </c>
      <c r="R27" s="1197">
        <f>-SUM($B$29:$J$29)</f>
        <v>0</v>
      </c>
      <c r="S27" s="1197">
        <f>SUM($B$30:$J$30)+R27</f>
        <v>356865.86481451511</v>
      </c>
    </row>
    <row r="28" spans="1:19" ht="13.15" customHeight="1">
      <c r="A28" s="435" t="s">
        <v>1174</v>
      </c>
      <c r="B28" s="2280">
        <f>-$G$5</f>
        <v>-12500</v>
      </c>
      <c r="C28" s="2280">
        <f t="shared" ref="C28:K28" si="7">+B28</f>
        <v>-12500</v>
      </c>
      <c r="D28" s="2280">
        <f t="shared" si="7"/>
        <v>-12500</v>
      </c>
      <c r="E28" s="2280">
        <f t="shared" si="7"/>
        <v>-12500</v>
      </c>
      <c r="F28" s="2280">
        <f t="shared" si="7"/>
        <v>-12500</v>
      </c>
      <c r="G28" s="2280">
        <f t="shared" si="7"/>
        <v>-12500</v>
      </c>
      <c r="H28" s="2280">
        <f t="shared" si="7"/>
        <v>-12500</v>
      </c>
      <c r="I28" s="2280">
        <f t="shared" si="7"/>
        <v>-12500</v>
      </c>
      <c r="J28" s="2280">
        <f t="shared" si="7"/>
        <v>-12500</v>
      </c>
      <c r="K28" s="2280">
        <f t="shared" si="7"/>
        <v>-12500</v>
      </c>
      <c r="N28" s="3027"/>
      <c r="O28" s="3028"/>
      <c r="Q28" s="1040">
        <v>10</v>
      </c>
      <c r="R28" s="1197">
        <f>-SUM($B$29:$K$29)</f>
        <v>0</v>
      </c>
      <c r="S28" s="1197">
        <f>SUM($B$30:$K$30)+R28</f>
        <v>388872.09643139015</v>
      </c>
    </row>
    <row r="29" spans="1:19" ht="13.15" customHeight="1">
      <c r="A29" s="435" t="s">
        <v>4127</v>
      </c>
      <c r="B29" s="2281">
        <f>IF('Part III-Sources of Funds'!$N$42="", 0,-'Part III-Sources of Funds'!$N$42)</f>
        <v>0</v>
      </c>
      <c r="C29" s="2281">
        <f>IF('Part III-Sources of Funds'!$N$42="", 0,-'Part III-Sources of Funds'!$N$42)</f>
        <v>0</v>
      </c>
      <c r="D29" s="2281">
        <f>IF('Part III-Sources of Funds'!$N$42="", 0,-'Part III-Sources of Funds'!$N$42)</f>
        <v>0</v>
      </c>
      <c r="E29" s="2281">
        <f>IF('Part III-Sources of Funds'!$N$42="", 0,-'Part III-Sources of Funds'!$N$42)</f>
        <v>0</v>
      </c>
      <c r="F29" s="2281">
        <f>IF('Part III-Sources of Funds'!$N$42="", 0,-'Part III-Sources of Funds'!$N$42)</f>
        <v>0</v>
      </c>
      <c r="G29" s="2281">
        <f>IF('Part III-Sources of Funds'!$N$42="", 0,-'Part III-Sources of Funds'!$N$42)</f>
        <v>0</v>
      </c>
      <c r="H29" s="2281">
        <f>IF('Part III-Sources of Funds'!$N$42="", 0,-'Part III-Sources of Funds'!$N$42)</f>
        <v>0</v>
      </c>
      <c r="I29" s="2281">
        <f>IF('Part III-Sources of Funds'!$N$42="", 0,-'Part III-Sources of Funds'!$N$42)</f>
        <v>0</v>
      </c>
      <c r="J29" s="2281">
        <f>IF('Part III-Sources of Funds'!$N$42="", 0,-'Part III-Sources of Funds'!$N$42)</f>
        <v>0</v>
      </c>
      <c r="K29" s="2281">
        <f>IF('Part III-Sources of Funds'!$N$42="", 0,-'Part III-Sources of Funds'!$N$42)</f>
        <v>0</v>
      </c>
      <c r="N29" s="3027"/>
      <c r="O29" s="3028"/>
      <c r="Q29" s="1040">
        <v>11</v>
      </c>
      <c r="R29" s="1197">
        <f>-SUM($B$29:$K$29)-$B$59</f>
        <v>0</v>
      </c>
      <c r="S29" s="1197">
        <f>SUM($B$30:$K$30)+$B$60+R29</f>
        <v>418806.21824718307</v>
      </c>
    </row>
    <row r="30" spans="1:19" ht="13.15" customHeight="1">
      <c r="A30" s="22" t="s">
        <v>1175</v>
      </c>
      <c r="B30" s="23">
        <f>SUM(B22:B29)</f>
        <v>44173.330188278131</v>
      </c>
      <c r="C30" s="23">
        <f t="shared" ref="C30:K30" si="8">SUM(C22:C29)</f>
        <v>43326.388220278175</v>
      </c>
      <c r="D30" s="23">
        <f t="shared" si="8"/>
        <v>42366.235512918116</v>
      </c>
      <c r="E30" s="23">
        <f t="shared" si="8"/>
        <v>41287.5218944109</v>
      </c>
      <c r="F30" s="23">
        <f t="shared" si="8"/>
        <v>40084.73141082361</v>
      </c>
      <c r="G30" s="23">
        <f t="shared" si="8"/>
        <v>38752.176647073262</v>
      </c>
      <c r="H30" s="23">
        <f t="shared" si="8"/>
        <v>37283.992863441781</v>
      </c>
      <c r="I30" s="23">
        <f t="shared" si="8"/>
        <v>35674.131941793421</v>
      </c>
      <c r="J30" s="23">
        <f t="shared" si="8"/>
        <v>33917.356135497677</v>
      </c>
      <c r="K30" s="23">
        <f t="shared" si="8"/>
        <v>32006.231616875062</v>
      </c>
      <c r="N30" s="3027"/>
      <c r="O30" s="3028"/>
      <c r="Q30" s="1040">
        <v>12</v>
      </c>
      <c r="R30" s="1197">
        <f>-SUM($B$29:$K$29) - SUM($B$59:$C$59)</f>
        <v>0</v>
      </c>
      <c r="S30" s="1197">
        <f>SUM($B$30:$K$30) + SUM($B$60:$C$60)+R30</f>
        <v>446501.39879002236</v>
      </c>
    </row>
    <row r="31" spans="1:19" ht="13.15" customHeight="1">
      <c r="A31" s="22" t="str">
        <f>IF('Part III-Sources of Funds'!$E$37 = "Neither", "", "DCR Mortgage A")</f>
        <v>DCR Mortgage A</v>
      </c>
      <c r="B31" s="25">
        <f t="shared" ref="B31:K31" si="9">IF(B23=0,"",-B22/B23)</f>
        <v>1.9126717503996546</v>
      </c>
      <c r="C31" s="25">
        <f t="shared" si="9"/>
        <v>1.8990325305787357</v>
      </c>
      <c r="D31" s="25">
        <f t="shared" si="9"/>
        <v>1.8835701561397173</v>
      </c>
      <c r="E31" s="25">
        <f t="shared" si="9"/>
        <v>1.8661984674968899</v>
      </c>
      <c r="F31" s="25">
        <f t="shared" si="9"/>
        <v>1.8468286352958749</v>
      </c>
      <c r="G31" s="25">
        <f t="shared" si="9"/>
        <v>1.8253690689584978</v>
      </c>
      <c r="H31" s="25">
        <f t="shared" si="9"/>
        <v>1.8017253222567648</v>
      </c>
      <c r="I31" s="25">
        <f t="shared" si="9"/>
        <v>1.7757999958222737</v>
      </c>
      <c r="J31" s="25">
        <f t="shared" si="9"/>
        <v>1.7475087405728456</v>
      </c>
      <c r="K31" s="26">
        <f t="shared" si="9"/>
        <v>1.7167318415649986</v>
      </c>
      <c r="N31" s="3027"/>
      <c r="O31" s="3028"/>
      <c r="Q31" s="1040">
        <v>13</v>
      </c>
      <c r="R31" s="1197">
        <f>-SUM($B$29:$K$29) - SUM($B$59:$D$59)</f>
        <v>0</v>
      </c>
      <c r="S31" s="1197">
        <f>SUM($B$30:$K$30) + SUM($B$60:$D$60)+R31</f>
        <v>471781.74368032435</v>
      </c>
    </row>
    <row r="32" spans="1:19" ht="13.1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3027"/>
      <c r="O32" s="3028"/>
      <c r="Q32" s="1040">
        <v>14</v>
      </c>
      <c r="R32" s="1197">
        <f>-SUM($B$29:$K$29) - SUM($B$59:$E$59)</f>
        <v>0</v>
      </c>
      <c r="S32" s="1197">
        <f>SUM($B$30:$K$30) + SUM($B$60:$E$60)+R32</f>
        <v>494466.07158428896</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027"/>
      <c r="O33" s="3028"/>
      <c r="Q33" s="1040">
        <v>15</v>
      </c>
      <c r="R33" s="1197">
        <f>-SUM($B$29:$K$29) - SUM($B$59:$F$59)</f>
        <v>0</v>
      </c>
      <c r="S33" s="1197">
        <f>SUM($B$30:$K$30) + SUM($B$60:$F$60)+R33</f>
        <v>514364.6826028183</v>
      </c>
    </row>
    <row r="34" spans="1:19" ht="13.15" customHeight="1">
      <c r="A34" s="22" t="s">
        <v>791</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027"/>
      <c r="O34" s="3028"/>
      <c r="Q34" s="63">
        <v>16</v>
      </c>
      <c r="R34" s="1197">
        <f>-SUM($B$29:$K$29) - SUM($B$59:$G$59)</f>
        <v>0</v>
      </c>
      <c r="S34" s="1197">
        <f>SUM($B$30:$K$30) + SUM($B$60:$G$60)+R34</f>
        <v>531280.11885205097</v>
      </c>
    </row>
    <row r="35" spans="1:19" ht="13.15" customHeight="1">
      <c r="A35" s="435" t="s">
        <v>3739</v>
      </c>
      <c r="B35" s="25">
        <f t="shared" ref="B35:K35" si="13">IF(AND(B23=0,B24=0,B25=0,B26=0),"",-B22/(B23+B24+B25+B26))</f>
        <v>1.9126717503996546</v>
      </c>
      <c r="C35" s="25">
        <f t="shared" si="13"/>
        <v>1.8990325305787357</v>
      </c>
      <c r="D35" s="25">
        <f t="shared" si="13"/>
        <v>1.8835701561397173</v>
      </c>
      <c r="E35" s="25">
        <f t="shared" si="13"/>
        <v>1.8661984674968899</v>
      </c>
      <c r="F35" s="25">
        <f t="shared" si="13"/>
        <v>1.8468286352958749</v>
      </c>
      <c r="G35" s="25">
        <f t="shared" si="13"/>
        <v>1.8253690689584978</v>
      </c>
      <c r="H35" s="25">
        <f t="shared" si="13"/>
        <v>1.8017253222567648</v>
      </c>
      <c r="I35" s="25">
        <f t="shared" si="13"/>
        <v>1.7757999958222737</v>
      </c>
      <c r="J35" s="25">
        <f t="shared" si="13"/>
        <v>1.7475087405728456</v>
      </c>
      <c r="K35" s="26">
        <f t="shared" si="13"/>
        <v>1.7167318415649986</v>
      </c>
      <c r="N35" s="3027"/>
      <c r="O35" s="3028"/>
      <c r="Q35" s="63">
        <v>17</v>
      </c>
      <c r="R35" s="1197">
        <f>-SUM($B$29:$K$29) - SUM($B$59:$H$59)</f>
        <v>0</v>
      </c>
      <c r="S35" s="1197">
        <f>SUM($B$30:$K$30) + SUM($B$60:$H$60)+R35</f>
        <v>545005.91698406427</v>
      </c>
    </row>
    <row r="36" spans="1:19" ht="13.15" customHeight="1">
      <c r="A36" s="22" t="s">
        <v>778</v>
      </c>
      <c r="B36" s="274">
        <f t="shared" ref="B36:K36" si="14">IF(OR(B20="Choose mgt fee",B20="Choose One!"),"",(B14+B15+B16+B17+B18) / -(B19+B20+B21))</f>
        <v>1.3686281253782671</v>
      </c>
      <c r="C36" s="274">
        <f t="shared" si="14"/>
        <v>1.3553388400423687</v>
      </c>
      <c r="D36" s="274">
        <f t="shared" si="14"/>
        <v>1.3421801712611152</v>
      </c>
      <c r="E36" s="274">
        <f t="shared" si="14"/>
        <v>1.3291500131094331</v>
      </c>
      <c r="F36" s="274">
        <f t="shared" si="14"/>
        <v>1.3162464788834054</v>
      </c>
      <c r="G36" s="274">
        <f t="shared" si="14"/>
        <v>1.3034678754246476</v>
      </c>
      <c r="H36" s="274">
        <f t="shared" si="14"/>
        <v>1.2908126797457797</v>
      </c>
      <c r="I36" s="274">
        <f t="shared" si="14"/>
        <v>1.2782795177813318</v>
      </c>
      <c r="J36" s="274">
        <f t="shared" si="14"/>
        <v>1.2658702466202214</v>
      </c>
      <c r="K36" s="275">
        <f t="shared" si="14"/>
        <v>1.2535803933236478</v>
      </c>
      <c r="N36" s="3027"/>
      <c r="O36" s="3028"/>
      <c r="Q36" s="63">
        <v>18</v>
      </c>
      <c r="R36" s="1197">
        <f>-SUM($B$29:$K$29) - SUM($B$59:$I$59)</f>
        <v>0</v>
      </c>
      <c r="S36" s="1197">
        <f>SUM($B$30:$K$30) + SUM($B$60:$I$60)+R36</f>
        <v>555327.35238840082</v>
      </c>
    </row>
    <row r="37" spans="1:19" ht="13.15" customHeight="1">
      <c r="A37" s="435" t="s">
        <v>2634</v>
      </c>
      <c r="B37" s="2282">
        <f>IF('Part III-Sources of Funds'!$I$37="","",-FV('Part III-Sources of Funds'!$K$37/12,12,B23/12,'Part III-Sources of Funds'!$I$37))</f>
        <v>1365589.6383641956</v>
      </c>
      <c r="C37" s="2282">
        <f>IF('Part III-Sources of Funds'!$I$37="","",-FV('Part III-Sources of Funds'!$K$37/12,12,C23/12,B37))</f>
        <v>1330484.7257500051</v>
      </c>
      <c r="D37" s="2282">
        <f>IF('Part III-Sources of Funds'!$I$37="","",-FV('Part III-Sources of Funds'!$K$37/12,12,D23/12,C37))</f>
        <v>1294671.2430934417</v>
      </c>
      <c r="E37" s="2282">
        <f>IF('Part III-Sources of Funds'!$I$37="","",-FV('Part III-Sources of Funds'!$K$37/12,12,E23/12,D37))</f>
        <v>1258134.8883647448</v>
      </c>
      <c r="F37" s="2282">
        <f>IF('Part III-Sources of Funds'!$I$37="","",-FV('Part III-Sources of Funds'!$K$37/12,12,F23/12,E37))</f>
        <v>1220861.0708568986</v>
      </c>
      <c r="G37" s="2282">
        <f>IF('Part III-Sources of Funds'!$I$37="","",-FV('Part III-Sources of Funds'!$K$37/12,12,G23/12,F37))</f>
        <v>1182834.9053588663</v>
      </c>
      <c r="H37" s="2282">
        <f>IF('Part III-Sources of Funds'!$I$37="","",-FV('Part III-Sources of Funds'!$K$37/12,12,H23/12,G37))</f>
        <v>1144041.2062112181</v>
      </c>
      <c r="I37" s="2282">
        <f>IF('Part III-Sources of Funds'!$I$37="","",-FV('Part III-Sources of Funds'!$K$37/12,12,I23/12,H37))</f>
        <v>1104464.4812417726</v>
      </c>
      <c r="J37" s="2282">
        <f>IF('Part III-Sources of Funds'!$I$37="","",-FV('Part III-Sources of Funds'!$K$37/12,12,J23/12,I37))</f>
        <v>1064088.925578835</v>
      </c>
      <c r="K37" s="2282">
        <f>IF('Part III-Sources of Funds'!$I$37="","",-FV('Part III-Sources of Funds'!$K$37/12,12,K23/12,J37))</f>
        <v>1022898.4153395585</v>
      </c>
      <c r="N37" s="3027"/>
      <c r="O37" s="3028"/>
      <c r="Q37" s="1040">
        <v>19</v>
      </c>
      <c r="R37" s="1197">
        <f>-SUM($B$29:$K$29) - SUM($B$59:$J$59)</f>
        <v>0</v>
      </c>
      <c r="S37" s="1197">
        <f>SUM($B$30:$K$30) + SUM($B$60:$J$60)+R37</f>
        <v>562022.17480694992</v>
      </c>
    </row>
    <row r="38" spans="1:19" ht="13.15" customHeight="1">
      <c r="A38" s="435" t="s">
        <v>2635</v>
      </c>
      <c r="B38" s="2278" t="str">
        <f>IF('Part III-Sources of Funds'!$I$38="","",-FV('Part III-Sources of Funds'!$K$38/12,12,B24/12,'Part III-Sources of Funds'!$I$38))</f>
        <v/>
      </c>
      <c r="C38" s="2278" t="str">
        <f>IF('Part III-Sources of Funds'!$I$38="","",-FV('Part III-Sources of Funds'!$K$38/12,12,C24/12,B38))</f>
        <v/>
      </c>
      <c r="D38" s="2278" t="str">
        <f>IF('Part III-Sources of Funds'!$I$38="","",-FV('Part III-Sources of Funds'!$K$38/12,12,D24/12,C38))</f>
        <v/>
      </c>
      <c r="E38" s="2278" t="str">
        <f>IF('Part III-Sources of Funds'!$I$38="","",-FV('Part III-Sources of Funds'!$K$38/12,12,E24/12,D38))</f>
        <v/>
      </c>
      <c r="F38" s="2278" t="str">
        <f>IF('Part III-Sources of Funds'!$I$38="","",-FV('Part III-Sources of Funds'!$K$38/12,12,F24/12,E38))</f>
        <v/>
      </c>
      <c r="G38" s="2278" t="str">
        <f>IF('Part III-Sources of Funds'!$I$38="","",-FV('Part III-Sources of Funds'!$K$38/12,12,G24/12,F38))</f>
        <v/>
      </c>
      <c r="H38" s="2278" t="str">
        <f>IF('Part III-Sources of Funds'!$I$38="","",-FV('Part III-Sources of Funds'!$K$38/12,12,H24/12,G38))</f>
        <v/>
      </c>
      <c r="I38" s="2278" t="str">
        <f>IF('Part III-Sources of Funds'!$I$38="","",-FV('Part III-Sources of Funds'!$K$38/12,12,I24/12,H38))</f>
        <v/>
      </c>
      <c r="J38" s="2278" t="str">
        <f>IF('Part III-Sources of Funds'!$I$38="","",-FV('Part III-Sources of Funds'!$K$38/12,12,J24/12,I38))</f>
        <v/>
      </c>
      <c r="K38" s="2278" t="str">
        <f>IF('Part III-Sources of Funds'!$I$38="","",-FV('Part III-Sources of Funds'!$K$38/12,12,K24/12,J38))</f>
        <v/>
      </c>
      <c r="N38" s="3027"/>
      <c r="O38" s="3028"/>
      <c r="Q38" s="1040">
        <v>20</v>
      </c>
      <c r="R38" s="1197">
        <f>-SUM($B$29:$K$29) - SUM($B$59:$K$59)</f>
        <v>0</v>
      </c>
      <c r="S38" s="1197">
        <f>SUM($B$30:$K$30) + SUM($B$60:$K$60)+R38</f>
        <v>564857.3350863331</v>
      </c>
    </row>
    <row r="39" spans="1:19" ht="13.15" customHeight="1">
      <c r="A39" s="435" t="s">
        <v>2636</v>
      </c>
      <c r="B39" s="2278" t="str">
        <f>IF('Part III-Sources of Funds'!$I$39="","",-FV('Part III-Sources of Funds'!$K$39/12,12,B25/12,'Part III-Sources of Funds'!$I$39))</f>
        <v/>
      </c>
      <c r="C39" s="2278" t="str">
        <f>IF('Part III-Sources of Funds'!$I$39="","",-FV('Part III-Sources of Funds'!$K$39/12,12,C25/12,B39))</f>
        <v/>
      </c>
      <c r="D39" s="2278" t="str">
        <f>IF('Part III-Sources of Funds'!$I$39="","",-FV('Part III-Sources of Funds'!$K$39/12,12,D25/12,C39))</f>
        <v/>
      </c>
      <c r="E39" s="2278" t="str">
        <f>IF('Part III-Sources of Funds'!$I$39="","",-FV('Part III-Sources of Funds'!$K$39/12,12,E25/12,D39))</f>
        <v/>
      </c>
      <c r="F39" s="2278" t="str">
        <f>IF('Part III-Sources of Funds'!$I$39="","",-FV('Part III-Sources of Funds'!$K$39/12,12,F25/12,E39))</f>
        <v/>
      </c>
      <c r="G39" s="2278" t="str">
        <f>IF('Part III-Sources of Funds'!$I$39="","",-FV('Part III-Sources of Funds'!$K$39/12,12,G25/12,F39))</f>
        <v/>
      </c>
      <c r="H39" s="2278" t="str">
        <f>IF('Part III-Sources of Funds'!$I$39="","",-FV('Part III-Sources of Funds'!$K$39/12,12,H25/12,G39))</f>
        <v/>
      </c>
      <c r="I39" s="2278" t="str">
        <f>IF('Part III-Sources of Funds'!$I$39="","",-FV('Part III-Sources of Funds'!$K$39/12,12,I25/12,H39))</f>
        <v/>
      </c>
      <c r="J39" s="2278" t="str">
        <f>IF('Part III-Sources of Funds'!$I$39="","",-FV('Part III-Sources of Funds'!$K$39/12,12,J25/12,I39))</f>
        <v/>
      </c>
      <c r="K39" s="2278" t="str">
        <f>IF('Part III-Sources of Funds'!$I$39="","",-FV('Part III-Sources of Funds'!$K$39/12,12,K25/12,J39))</f>
        <v/>
      </c>
      <c r="N39" s="3027"/>
      <c r="O39" s="3028"/>
    </row>
    <row r="40" spans="1:19" ht="13.15" customHeight="1">
      <c r="A40" s="22" t="s">
        <v>792</v>
      </c>
      <c r="B40" s="2278" t="str">
        <f>IF('Part III-Sources of Funds'!$I$40="","",-FV('Part III-Sources of Funds'!$K$40/12,12,B26/12,'Part III-Sources of Funds'!$I$40))</f>
        <v/>
      </c>
      <c r="C40" s="2278" t="str">
        <f>IF('Part III-Sources of Funds'!$I$40="","",-FV('Part III-Sources of Funds'!$K$40/12,12,C26/12,B40))</f>
        <v/>
      </c>
      <c r="D40" s="2278" t="str">
        <f>IF('Part III-Sources of Funds'!$I$40="","",-FV('Part III-Sources of Funds'!$K$40/12,12,D26/12,C40))</f>
        <v/>
      </c>
      <c r="E40" s="2278" t="str">
        <f>IF('Part III-Sources of Funds'!$I$40="","",-FV('Part III-Sources of Funds'!$K$40/12,12,E26/12,D40))</f>
        <v/>
      </c>
      <c r="F40" s="2278" t="str">
        <f>IF('Part III-Sources of Funds'!$I$40="","",-FV('Part III-Sources of Funds'!$K$40/12,12,F26/12,E40))</f>
        <v/>
      </c>
      <c r="G40" s="2278" t="str">
        <f>IF('Part III-Sources of Funds'!$I$40="","",-FV('Part III-Sources of Funds'!$K$40/12,12,G26/12,F40))</f>
        <v/>
      </c>
      <c r="H40" s="2278" t="str">
        <f>IF('Part III-Sources of Funds'!$I$40="","",-FV('Part III-Sources of Funds'!$K$40/12,12,H26/12,G40))</f>
        <v/>
      </c>
      <c r="I40" s="2278" t="str">
        <f>IF('Part III-Sources of Funds'!$I$40="","",-FV('Part III-Sources of Funds'!$K$40/12,12,I26/12,H40))</f>
        <v/>
      </c>
      <c r="J40" s="2278" t="str">
        <f>IF('Part III-Sources of Funds'!$I$40="","",-FV('Part III-Sources of Funds'!$K$40/12,12,J26/12,I40))</f>
        <v/>
      </c>
      <c r="K40" s="2278" t="str">
        <f>IF('Part III-Sources of Funds'!$I$40="","",-FV('Part III-Sources of Funds'!$K$40/12,12,K26/12,J40))</f>
        <v/>
      </c>
      <c r="N40" s="3027"/>
      <c r="O40" s="3028"/>
    </row>
    <row r="41" spans="1:19" ht="13.15" customHeight="1">
      <c r="A41" s="435" t="s">
        <v>4128</v>
      </c>
      <c r="B41" s="2281" t="str">
        <f>IF('Part III-Sources of Funds'!$I$42="","",-FV('Part III-Sources of Funds'!$K$42/12,12,B29/12,'Part III-Sources of Funds'!$I$42))</f>
        <v/>
      </c>
      <c r="C41" s="2281" t="str">
        <f>IF('Part III-Sources of Funds'!$I$42="","",IF(-FV('Part III-Sources of Funds'!$K$42/12,12,C29/12,B41)&gt;0,-FV('Part III-Sources of Funds'!$K$42/12,12,C29/12,B41),0))</f>
        <v/>
      </c>
      <c r="D41" s="2281" t="str">
        <f>IF('Part III-Sources of Funds'!$I$42="","",IF(-FV('Part III-Sources of Funds'!$K$42/12,12,D29/12,C41)&gt;0,-FV('Part III-Sources of Funds'!$K$42/12,12,D29/12,C41),0))</f>
        <v/>
      </c>
      <c r="E41" s="2281" t="str">
        <f>IF('Part III-Sources of Funds'!$I$42="","",IF(-FV('Part III-Sources of Funds'!$K$42/12,12,E29/12,D41)&gt;0,-FV('Part III-Sources of Funds'!$K$42/12,12,E29/12,D41),0))</f>
        <v/>
      </c>
      <c r="F41" s="2281" t="str">
        <f>IF('Part III-Sources of Funds'!$I$42="","",IF(-FV('Part III-Sources of Funds'!$K$42/12,12,F29/12,E41)&gt;0,-FV('Part III-Sources of Funds'!$K$42/12,12,F29/12,E41),0))</f>
        <v/>
      </c>
      <c r="G41" s="2281" t="str">
        <f>IF('Part III-Sources of Funds'!$I$42="","",IF(-FV('Part III-Sources of Funds'!$K$42/12,12,G29/12,F41)&gt;0,-FV('Part III-Sources of Funds'!$K$42/12,12,G29/12,F41),0))</f>
        <v/>
      </c>
      <c r="H41" s="2281" t="str">
        <f>IF('Part III-Sources of Funds'!$I$42="","",IF(-FV('Part III-Sources of Funds'!$K$42/12,12,H29/12,G41)&gt;0,-FV('Part III-Sources of Funds'!$K$42/12,12,H29/12,G41),0))</f>
        <v/>
      </c>
      <c r="I41" s="2281" t="str">
        <f>IF('Part III-Sources of Funds'!$I$42="","",IF(-FV('Part III-Sources of Funds'!$K$42/12,12,I29/12,H41)&gt;0,-FV('Part III-Sources of Funds'!$K$42/12,12,I29/12,H41),0))</f>
        <v/>
      </c>
      <c r="J41" s="2281" t="str">
        <f>IF('Part III-Sources of Funds'!$I$42="","",IF(-FV('Part III-Sources of Funds'!$K$42/12,12,J29/12,I41)&gt;0,-FV('Part III-Sources of Funds'!$K$42/12,12,J29/12,I41),0))</f>
        <v/>
      </c>
      <c r="K41" s="2281" t="str">
        <f>IF('Part III-Sources of Funds'!$I$42="","",IF(-FV('Part III-Sources of Funds'!$K$42/12,12,K29/12,J41)&gt;0,-FV('Part III-Sources of Funds'!$K$42/12,12,K29/12,J41),0))</f>
        <v/>
      </c>
      <c r="N41" s="3069"/>
      <c r="O41" s="3070"/>
    </row>
    <row r="42" spans="1:19" ht="4.1500000000000004" customHeight="1">
      <c r="B42" s="18"/>
      <c r="C42" s="18"/>
      <c r="D42" s="18"/>
      <c r="E42" s="18"/>
      <c r="F42" s="18"/>
      <c r="G42" s="18"/>
      <c r="H42" s="18"/>
      <c r="I42" s="18"/>
      <c r="J42" s="18"/>
      <c r="K42" s="18"/>
    </row>
    <row r="43" spans="1:19" ht="14.45" customHeight="1">
      <c r="A43" s="14" t="s">
        <v>2496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2710" t="s">
        <v>2639</v>
      </c>
      <c r="O43" s="2710"/>
    </row>
    <row r="44" spans="1:19" ht="13.15" customHeight="1">
      <c r="A44" s="19" t="s">
        <v>2420</v>
      </c>
      <c r="B44" s="20">
        <f t="shared" ref="B44:K44" si="16">$B$14*(1+$B$5)^(B43-1)</f>
        <v>566656.87010108284</v>
      </c>
      <c r="C44" s="20">
        <f t="shared" si="16"/>
        <v>577990.0075031044</v>
      </c>
      <c r="D44" s="20">
        <f t="shared" si="16"/>
        <v>589549.80765316659</v>
      </c>
      <c r="E44" s="20">
        <f t="shared" si="16"/>
        <v>601340.80380622984</v>
      </c>
      <c r="F44" s="20">
        <f t="shared" si="16"/>
        <v>613367.61988235451</v>
      </c>
      <c r="G44" s="20">
        <f t="shared" si="16"/>
        <v>625634.97228000138</v>
      </c>
      <c r="H44" s="20">
        <f t="shared" si="16"/>
        <v>638147.67172560154</v>
      </c>
      <c r="I44" s="20">
        <f t="shared" si="16"/>
        <v>650910.62516011368</v>
      </c>
      <c r="J44" s="20">
        <f t="shared" si="16"/>
        <v>663928.83766331582</v>
      </c>
      <c r="K44" s="21">
        <f t="shared" si="16"/>
        <v>677207.41441658209</v>
      </c>
      <c r="N44" s="3034"/>
      <c r="O44" s="3035"/>
    </row>
    <row r="45" spans="1:19" ht="13.15" customHeight="1">
      <c r="A45" s="22" t="s">
        <v>1026</v>
      </c>
      <c r="B45" s="23">
        <f t="shared" ref="B45:K45" si="17">$B$15*(1+$B$5)^(B43-1)</f>
        <v>11333.137402021657</v>
      </c>
      <c r="C45" s="23">
        <f t="shared" si="17"/>
        <v>11559.800150062089</v>
      </c>
      <c r="D45" s="23">
        <f t="shared" si="17"/>
        <v>11790.996153063332</v>
      </c>
      <c r="E45" s="23">
        <f t="shared" si="17"/>
        <v>12026.816076124598</v>
      </c>
      <c r="F45" s="23">
        <f t="shared" si="17"/>
        <v>12267.352397647091</v>
      </c>
      <c r="G45" s="23">
        <f t="shared" si="17"/>
        <v>12512.69944560003</v>
      </c>
      <c r="H45" s="23">
        <f t="shared" si="17"/>
        <v>12762.953434512032</v>
      </c>
      <c r="I45" s="23">
        <f t="shared" si="17"/>
        <v>13018.212503202274</v>
      </c>
      <c r="J45" s="23">
        <f t="shared" si="17"/>
        <v>13278.576753266318</v>
      </c>
      <c r="K45" s="24">
        <f t="shared" si="17"/>
        <v>13544.148288331644</v>
      </c>
      <c r="N45" s="3027"/>
      <c r="O45" s="3028"/>
    </row>
    <row r="46" spans="1:19" ht="13.15" customHeight="1">
      <c r="A46" s="22" t="s">
        <v>2421</v>
      </c>
      <c r="B46" s="23">
        <f t="shared" ref="B46:K46" si="18">-(B44+B45)*$B$8</f>
        <v>-40459.300525217317</v>
      </c>
      <c r="C46" s="23">
        <f t="shared" si="18"/>
        <v>-41268.486535721655</v>
      </c>
      <c r="D46" s="23">
        <f t="shared" si="18"/>
        <v>-42093.856266436102</v>
      </c>
      <c r="E46" s="23">
        <f t="shared" si="18"/>
        <v>-42935.733391764814</v>
      </c>
      <c r="F46" s="23">
        <f t="shared" si="18"/>
        <v>-43794.448059600116</v>
      </c>
      <c r="G46" s="23">
        <f t="shared" si="18"/>
        <v>-44670.337020792103</v>
      </c>
      <c r="H46" s="23">
        <f t="shared" si="18"/>
        <v>-45563.743761207952</v>
      </c>
      <c r="I46" s="23">
        <f t="shared" si="18"/>
        <v>-46475.01863643212</v>
      </c>
      <c r="J46" s="23">
        <f t="shared" si="18"/>
        <v>-47404.519009160751</v>
      </c>
      <c r="K46" s="24">
        <f t="shared" si="18"/>
        <v>-48352.609389343968</v>
      </c>
      <c r="N46" s="3027"/>
      <c r="O46" s="3028"/>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027"/>
      <c r="O47" s="3028"/>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027"/>
      <c r="O48" s="3028"/>
    </row>
    <row r="49" spans="1:18" ht="13.15" customHeight="1">
      <c r="A49" s="22" t="s">
        <v>620</v>
      </c>
      <c r="B49" s="23">
        <f t="shared" ref="B49:K49" si="19">$B$19*(1+$B$6)^(B43-1)</f>
        <v>-360684.30963751342</v>
      </c>
      <c r="C49" s="23">
        <f t="shared" si="19"/>
        <v>-371504.83892663883</v>
      </c>
      <c r="D49" s="23">
        <f t="shared" si="19"/>
        <v>-382649.98409443797</v>
      </c>
      <c r="E49" s="23">
        <f t="shared" si="19"/>
        <v>-394129.48361727106</v>
      </c>
      <c r="F49" s="23">
        <f t="shared" si="19"/>
        <v>-405953.36812578927</v>
      </c>
      <c r="G49" s="23">
        <f t="shared" si="19"/>
        <v>-418131.96916956297</v>
      </c>
      <c r="H49" s="23">
        <f t="shared" si="19"/>
        <v>-430675.92824464978</v>
      </c>
      <c r="I49" s="23">
        <f t="shared" si="19"/>
        <v>-443596.20609198924</v>
      </c>
      <c r="J49" s="23">
        <f t="shared" si="19"/>
        <v>-456904.09227474895</v>
      </c>
      <c r="K49" s="24">
        <f t="shared" si="19"/>
        <v>-470611.21504299139</v>
      </c>
      <c r="N49" s="3027"/>
      <c r="O49" s="3028"/>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-40882</v>
      </c>
      <c r="C50" s="23">
        <f>IF(AND('Part VII-Pro Forma'!$G$8="Yes",'Part VII-Pro Forma'!$G$9="Yes"),"Choose One!",IF('Part VII-Pro Forma'!$G$8="Yes",ROUND((-$K$8*(1+'Part VII-Pro Forma'!$B$6)^('Part VII-Pro Forma'!C43-1)),),IF('Part VII-Pro Forma'!$G$9="Yes",ROUND((-(SUM(C44:C47)*'Part VII-Pro Forma'!$K$9)),),"Choose mgt fee")))</f>
        <v>-42108</v>
      </c>
      <c r="D50" s="23">
        <f>IF(AND('Part VII-Pro Forma'!$G$8="Yes",'Part VII-Pro Forma'!$G$9="Yes"),"Choose One!",IF('Part VII-Pro Forma'!$G$8="Yes",ROUND((-$K$8*(1+'Part VII-Pro Forma'!$B$6)^('Part VII-Pro Forma'!D43-1)),),IF('Part VII-Pro Forma'!$G$9="Yes",ROUND((-(SUM(D44:D47)*'Part VII-Pro Forma'!$K$9)),),"Choose mgt fee")))</f>
        <v>-43372</v>
      </c>
      <c r="E50" s="23">
        <f>IF(AND('Part VII-Pro Forma'!$G$8="Yes",'Part VII-Pro Forma'!$G$9="Yes"),"Choose One!",IF('Part VII-Pro Forma'!$G$8="Yes",ROUND((-$K$8*(1+'Part VII-Pro Forma'!$B$6)^('Part VII-Pro Forma'!E43-1)),),IF('Part VII-Pro Forma'!$G$9="Yes",ROUND((-(SUM(E44:E47)*'Part VII-Pro Forma'!$K$9)),),"Choose mgt fee")))</f>
        <v>-44673</v>
      </c>
      <c r="F50" s="23">
        <f>IF(AND('Part VII-Pro Forma'!$G$8="Yes",'Part VII-Pro Forma'!$G$9="Yes"),"Choose One!",IF('Part VII-Pro Forma'!$G$8="Yes",ROUND((-$K$8*(1+'Part VII-Pro Forma'!$B$6)^('Part VII-Pro Forma'!F43-1)),),IF('Part VII-Pro Forma'!$G$9="Yes",ROUND((-(SUM(F44:F47)*'Part VII-Pro Forma'!$K$9)),),"Choose mgt fee")))</f>
        <v>-46013</v>
      </c>
      <c r="G50" s="23">
        <f>IF(AND('Part VII-Pro Forma'!$G$8="Yes",'Part VII-Pro Forma'!$G$9="Yes"),"Choose One!",IF('Part VII-Pro Forma'!$G$8="Yes",ROUND((-$K$8*(1+'Part VII-Pro Forma'!$B$6)^('Part VII-Pro Forma'!G43-1)),),IF('Part VII-Pro Forma'!$G$9="Yes",ROUND((-(SUM(G44:G47)*'Part VII-Pro Forma'!$K$9)),),"Choose mgt fee")))</f>
        <v>-47393</v>
      </c>
      <c r="H50" s="23">
        <f>IF(AND('Part VII-Pro Forma'!$G$8="Yes",'Part VII-Pro Forma'!$G$9="Yes"),"Choose One!",IF('Part VII-Pro Forma'!$G$8="Yes",ROUND((-$K$8*(1+'Part VII-Pro Forma'!$B$6)^('Part VII-Pro Forma'!H43-1)),),IF('Part VII-Pro Forma'!$G$9="Yes",ROUND((-(SUM(H44:H47)*'Part VII-Pro Forma'!$K$9)),),"Choose mgt fee")))</f>
        <v>-48815</v>
      </c>
      <c r="I50" s="23">
        <f>IF(AND('Part VII-Pro Forma'!$G$8="Yes",'Part VII-Pro Forma'!$G$9="Yes"),"Choose One!",IF('Part VII-Pro Forma'!$G$8="Yes",ROUND((-$K$8*(1+'Part VII-Pro Forma'!$B$6)^('Part VII-Pro Forma'!I43-1)),),IF('Part VII-Pro Forma'!$G$9="Yes",ROUND((-(SUM(I44:I47)*'Part VII-Pro Forma'!$K$9)),),"Choose mgt fee")))</f>
        <v>-50280</v>
      </c>
      <c r="J50" s="23">
        <f>IF(AND('Part VII-Pro Forma'!$G$8="Yes",'Part VII-Pro Forma'!$G$9="Yes"),"Choose One!",IF('Part VII-Pro Forma'!$G$8="Yes",ROUND((-$K$8*(1+'Part VII-Pro Forma'!$B$6)^('Part VII-Pro Forma'!J43-1)),),IF('Part VII-Pro Forma'!$G$9="Yes",ROUND((-(SUM(J44:J47)*'Part VII-Pro Forma'!$K$9)),),"Choose mgt fee")))</f>
        <v>-51788</v>
      </c>
      <c r="K50" s="23">
        <f>IF(AND('Part VII-Pro Forma'!$G$8="Yes",'Part VII-Pro Forma'!$G$9="Yes"),"Choose One!",IF('Part VII-Pro Forma'!$G$8="Yes",ROUND((-$K$8*(1+'Part VII-Pro Forma'!$B$6)^('Part VII-Pro Forma'!K43-1)),),IF('Part VII-Pro Forma'!$G$9="Yes",ROUND((-(SUM(K44:K47)*'Part VII-Pro Forma'!$K$9)),),"Choose mgt fee")))</f>
        <v>-53342</v>
      </c>
      <c r="N50" s="3027"/>
      <c r="O50" s="3028"/>
    </row>
    <row r="51" spans="1:18" ht="13.15" customHeight="1">
      <c r="A51" s="22" t="s">
        <v>1214</v>
      </c>
      <c r="B51" s="23">
        <f t="shared" ref="B51:K51" si="20">$B$21*(1+$B$7)^(B43-1)</f>
        <v>-31434.20411285901</v>
      </c>
      <c r="C51" s="23">
        <f t="shared" si="20"/>
        <v>-32377.230236244781</v>
      </c>
      <c r="D51" s="23">
        <f t="shared" si="20"/>
        <v>-33348.547143332122</v>
      </c>
      <c r="E51" s="23">
        <f t="shared" si="20"/>
        <v>-34349.003557632081</v>
      </c>
      <c r="F51" s="23">
        <f t="shared" si="20"/>
        <v>-35379.473664361045</v>
      </c>
      <c r="G51" s="23">
        <f t="shared" si="20"/>
        <v>-36440.857874291883</v>
      </c>
      <c r="H51" s="23">
        <f t="shared" si="20"/>
        <v>-37534.083610520633</v>
      </c>
      <c r="I51" s="23">
        <f t="shared" si="20"/>
        <v>-38660.106118836251</v>
      </c>
      <c r="J51" s="23">
        <f t="shared" si="20"/>
        <v>-39819.909302401335</v>
      </c>
      <c r="K51" s="24">
        <f t="shared" si="20"/>
        <v>-41014.506581473375</v>
      </c>
      <c r="N51" s="3027"/>
      <c r="O51" s="3028"/>
    </row>
    <row r="52" spans="1:18" ht="13.15" customHeight="1">
      <c r="A52" s="22" t="s">
        <v>1215</v>
      </c>
      <c r="B52" s="23">
        <f t="shared" ref="B52:K52" si="21">SUM(B44:B51)</f>
        <v>104530.19322751477</v>
      </c>
      <c r="C52" s="23">
        <f t="shared" si="21"/>
        <v>102291.25195456117</v>
      </c>
      <c r="D52" s="23">
        <f t="shared" si="21"/>
        <v>99876.416302023819</v>
      </c>
      <c r="E52" s="23">
        <f t="shared" si="21"/>
        <v>97280.399315686445</v>
      </c>
      <c r="F52" s="23">
        <f t="shared" si="21"/>
        <v>94494.68243025121</v>
      </c>
      <c r="G52" s="23">
        <f t="shared" si="21"/>
        <v>91511.507660954492</v>
      </c>
      <c r="H52" s="23">
        <f t="shared" si="21"/>
        <v>88321.869543735229</v>
      </c>
      <c r="I52" s="23">
        <f t="shared" si="21"/>
        <v>84917.506816058318</v>
      </c>
      <c r="J52" s="23">
        <f t="shared" si="21"/>
        <v>81290.893830271001</v>
      </c>
      <c r="K52" s="24">
        <f t="shared" si="21"/>
        <v>77431.231691105029</v>
      </c>
      <c r="N52" s="3027"/>
      <c r="O52" s="3028"/>
    </row>
    <row r="53" spans="1:18" ht="13.15" customHeight="1">
      <c r="A53" s="22" t="str">
        <f>$A23</f>
        <v>Mortgage A</v>
      </c>
      <c r="B53" s="2277">
        <f>IF('Part III-Sources of Funds'!$N$37="", 0,-'Part III-Sources of Funds'!$N$37)</f>
        <v>-62096.071411721852</v>
      </c>
      <c r="C53" s="2277">
        <f>IF('Part III-Sources of Funds'!$N$37="", 0,-'Part III-Sources of Funds'!$N$37)</f>
        <v>-62096.071411721852</v>
      </c>
      <c r="D53" s="2277">
        <f>IF('Part III-Sources of Funds'!$N$37="", 0,-'Part III-Sources of Funds'!$N$37)</f>
        <v>-62096.071411721852</v>
      </c>
      <c r="E53" s="2277">
        <f>IF('Part III-Sources of Funds'!$N$37="", 0,-'Part III-Sources of Funds'!$N$37)</f>
        <v>-62096.071411721852</v>
      </c>
      <c r="F53" s="2277">
        <f>IF('Part III-Sources of Funds'!$N$37="", 0,-'Part III-Sources of Funds'!$N$37)</f>
        <v>-62096.071411721852</v>
      </c>
      <c r="G53" s="2277">
        <f>IF('Part III-Sources of Funds'!$N$37="", 0,-'Part III-Sources of Funds'!$N$37)</f>
        <v>-62096.071411721852</v>
      </c>
      <c r="H53" s="2277">
        <f>IF('Part III-Sources of Funds'!$N$37="", 0,-'Part III-Sources of Funds'!$N$37)</f>
        <v>-62096.071411721852</v>
      </c>
      <c r="I53" s="2277">
        <f>IF('Part III-Sources of Funds'!$N$37="", 0,-'Part III-Sources of Funds'!$N$37)</f>
        <v>-62096.071411721852</v>
      </c>
      <c r="J53" s="2277">
        <f>IF('Part III-Sources of Funds'!$N$37="", 0,-'Part III-Sources of Funds'!$N$37)</f>
        <v>-62096.071411721852</v>
      </c>
      <c r="K53" s="2277">
        <f>IF('Part III-Sources of Funds'!$N$37="", 0,-'Part III-Sources of Funds'!$N$37)</f>
        <v>-62096.071411721852</v>
      </c>
      <c r="N53" s="3027"/>
      <c r="O53" s="3028"/>
    </row>
    <row r="54" spans="1:18" ht="13.15" customHeight="1">
      <c r="A54" s="22" t="str">
        <f>$A24</f>
        <v>Mortgage B</v>
      </c>
      <c r="B54" s="2278">
        <f>IF('Part III-Sources of Funds'!$N$38="", 0,-'Part III-Sources of Funds'!$N$38)</f>
        <v>0</v>
      </c>
      <c r="C54" s="2278">
        <f>IF('Part III-Sources of Funds'!$N$38="", 0,-'Part III-Sources of Funds'!$N$38)</f>
        <v>0</v>
      </c>
      <c r="D54" s="2278">
        <f>IF('Part III-Sources of Funds'!$N$38="", 0,-'Part III-Sources of Funds'!$N$38)</f>
        <v>0</v>
      </c>
      <c r="E54" s="2278">
        <f>IF('Part III-Sources of Funds'!$N$38="", 0,-'Part III-Sources of Funds'!$N$38)</f>
        <v>0</v>
      </c>
      <c r="F54" s="2278">
        <f>IF('Part III-Sources of Funds'!$N$38="", 0,-'Part III-Sources of Funds'!$N$38)</f>
        <v>0</v>
      </c>
      <c r="G54" s="2278">
        <f>IF('Part III-Sources of Funds'!$N$38="", 0,-'Part III-Sources of Funds'!$N$38)</f>
        <v>0</v>
      </c>
      <c r="H54" s="2278">
        <f>IF('Part III-Sources of Funds'!$N$38="", 0,-'Part III-Sources of Funds'!$N$38)</f>
        <v>0</v>
      </c>
      <c r="I54" s="2278">
        <f>IF('Part III-Sources of Funds'!$N$38="", 0,-'Part III-Sources of Funds'!$N$38)</f>
        <v>0</v>
      </c>
      <c r="J54" s="2278">
        <f>IF('Part III-Sources of Funds'!$N$38="", 0,-'Part III-Sources of Funds'!$N$38)</f>
        <v>0</v>
      </c>
      <c r="K54" s="2278">
        <f>IF('Part III-Sources of Funds'!$N$38="", 0,-'Part III-Sources of Funds'!$N$38)</f>
        <v>0</v>
      </c>
      <c r="N54" s="3027"/>
      <c r="O54" s="3028"/>
    </row>
    <row r="55" spans="1:18" ht="13.15" customHeight="1">
      <c r="A55" s="22" t="str">
        <f>$A25</f>
        <v>Mortgage C</v>
      </c>
      <c r="B55" s="2278">
        <f>IF('Part III-Sources of Funds'!$N$39="", 0,-'Part III-Sources of Funds'!$N$39)</f>
        <v>0</v>
      </c>
      <c r="C55" s="2278">
        <f>IF('Part III-Sources of Funds'!$N$39="", 0,-'Part III-Sources of Funds'!$N$39)</f>
        <v>0</v>
      </c>
      <c r="D55" s="2278">
        <f>IF('Part III-Sources of Funds'!$N$39="", 0,-'Part III-Sources of Funds'!$N$39)</f>
        <v>0</v>
      </c>
      <c r="E55" s="2278">
        <f>IF('Part III-Sources of Funds'!$N$39="", 0,-'Part III-Sources of Funds'!$N$39)</f>
        <v>0</v>
      </c>
      <c r="F55" s="2278">
        <f>IF('Part III-Sources of Funds'!$N$39="", 0,-'Part III-Sources of Funds'!$N$39)</f>
        <v>0</v>
      </c>
      <c r="G55" s="2278">
        <f>IF('Part III-Sources of Funds'!$N$39="", 0,-'Part III-Sources of Funds'!$N$39)</f>
        <v>0</v>
      </c>
      <c r="H55" s="2278">
        <f>IF('Part III-Sources of Funds'!$N$39="", 0,-'Part III-Sources of Funds'!$N$39)</f>
        <v>0</v>
      </c>
      <c r="I55" s="2278">
        <f>IF('Part III-Sources of Funds'!$N$39="", 0,-'Part III-Sources of Funds'!$N$39)</f>
        <v>0</v>
      </c>
      <c r="J55" s="2278">
        <f>IF('Part III-Sources of Funds'!$N$39="", 0,-'Part III-Sources of Funds'!$N$39)</f>
        <v>0</v>
      </c>
      <c r="K55" s="2278">
        <f>IF('Part III-Sources of Funds'!$N$39="", 0,-'Part III-Sources of Funds'!$N$39)</f>
        <v>0</v>
      </c>
      <c r="N55" s="3027"/>
      <c r="O55" s="3028"/>
    </row>
    <row r="56" spans="1:18" ht="13.15" customHeight="1">
      <c r="A56" s="22" t="str">
        <f>$A26</f>
        <v>D/S Other Source,not DDF</v>
      </c>
      <c r="B56" s="2278">
        <f>IF('Part III-Sources of Funds'!$N$40="", 0,-'Part III-Sources of Funds'!$N$40)</f>
        <v>0</v>
      </c>
      <c r="C56" s="2278">
        <f>IF('Part III-Sources of Funds'!$N$40="", 0,-'Part III-Sources of Funds'!$N$40)</f>
        <v>0</v>
      </c>
      <c r="D56" s="2278">
        <f>IF('Part III-Sources of Funds'!$N$40="", 0,-'Part III-Sources of Funds'!$N$40)</f>
        <v>0</v>
      </c>
      <c r="E56" s="2278">
        <f>IF('Part III-Sources of Funds'!$N$40="", 0,-'Part III-Sources of Funds'!$N$40)</f>
        <v>0</v>
      </c>
      <c r="F56" s="2278">
        <f>IF('Part III-Sources of Funds'!$N$40="", 0,-'Part III-Sources of Funds'!$N$40)</f>
        <v>0</v>
      </c>
      <c r="G56" s="2278">
        <f>IF('Part III-Sources of Funds'!$N$40="", 0,-'Part III-Sources of Funds'!$N$40)</f>
        <v>0</v>
      </c>
      <c r="H56" s="2278">
        <f>IF('Part III-Sources of Funds'!$N$40="", 0,-'Part III-Sources of Funds'!$N$40)</f>
        <v>0</v>
      </c>
      <c r="I56" s="2278">
        <f>IF('Part III-Sources of Funds'!$N$40="", 0,-'Part III-Sources of Funds'!$N$40)</f>
        <v>0</v>
      </c>
      <c r="J56" s="2278">
        <f>IF('Part III-Sources of Funds'!$N$40="", 0,-'Part III-Sources of Funds'!$N$40)</f>
        <v>0</v>
      </c>
      <c r="K56" s="2278">
        <f>IF('Part III-Sources of Funds'!$N$40="", 0,-'Part III-Sources of Funds'!$N$40)</f>
        <v>0</v>
      </c>
      <c r="N56" s="3027"/>
      <c r="O56" s="3028"/>
    </row>
    <row r="57" spans="1:18" ht="13.15" customHeight="1">
      <c r="A57" s="22" t="s">
        <v>771</v>
      </c>
      <c r="B57" s="2279"/>
      <c r="C57" s="2279"/>
      <c r="D57" s="2279"/>
      <c r="E57" s="2279"/>
      <c r="F57" s="2279"/>
      <c r="G57" s="2279"/>
      <c r="H57" s="2279"/>
      <c r="I57" s="2279"/>
      <c r="J57" s="2279"/>
      <c r="K57" s="2279"/>
      <c r="N57" s="3027"/>
      <c r="O57" s="3028"/>
    </row>
    <row r="58" spans="1:18" ht="13.15" customHeight="1">
      <c r="A58" s="435" t="s">
        <v>1174</v>
      </c>
      <c r="B58" s="2278">
        <f>+K28</f>
        <v>-12500</v>
      </c>
      <c r="C58" s="2278">
        <f t="shared" ref="C58:K58" si="22">+B58</f>
        <v>-12500</v>
      </c>
      <c r="D58" s="2278">
        <f t="shared" si="22"/>
        <v>-12500</v>
      </c>
      <c r="E58" s="2278">
        <f t="shared" si="22"/>
        <v>-12500</v>
      </c>
      <c r="F58" s="2278">
        <f t="shared" si="22"/>
        <v>-12500</v>
      </c>
      <c r="G58" s="2278">
        <f t="shared" si="22"/>
        <v>-12500</v>
      </c>
      <c r="H58" s="2278">
        <f t="shared" si="22"/>
        <v>-12500</v>
      </c>
      <c r="I58" s="2278">
        <f t="shared" si="22"/>
        <v>-12500</v>
      </c>
      <c r="J58" s="2278">
        <f t="shared" si="22"/>
        <v>-12500</v>
      </c>
      <c r="K58" s="2278">
        <f t="shared" si="22"/>
        <v>-12500</v>
      </c>
      <c r="N58" s="3027"/>
      <c r="O58" s="3028"/>
      <c r="Q58" s="1040"/>
      <c r="R58" s="1197"/>
    </row>
    <row r="59" spans="1:18" ht="13.15" customHeight="1">
      <c r="A59" s="435" t="s">
        <v>4127</v>
      </c>
      <c r="B59" s="2281">
        <f>IF('Part III-Sources of Funds'!$N$42="", 0,-'Part III-Sources of Funds'!$N$42)</f>
        <v>0</v>
      </c>
      <c r="C59" s="2281">
        <f>IF('Part III-Sources of Funds'!$N$42="", 0,-'Part III-Sources of Funds'!$N$42)</f>
        <v>0</v>
      </c>
      <c r="D59" s="2281">
        <f>IF('Part III-Sources of Funds'!$N$42="", 0,-'Part III-Sources of Funds'!$N$42)</f>
        <v>0</v>
      </c>
      <c r="E59" s="2281">
        <f>IF('Part III-Sources of Funds'!$N$42="", 0,-'Part III-Sources of Funds'!$N$42)</f>
        <v>0</v>
      </c>
      <c r="F59" s="2281">
        <f>IF('Part III-Sources of Funds'!$N$42="", 0,-'Part III-Sources of Funds'!$N$42)</f>
        <v>0</v>
      </c>
      <c r="G59" s="2281"/>
      <c r="H59" s="2281"/>
      <c r="I59" s="2281"/>
      <c r="J59" s="2281"/>
      <c r="K59" s="2281"/>
      <c r="N59" s="3027"/>
      <c r="O59" s="3028"/>
    </row>
    <row r="60" spans="1:18" ht="13.15" customHeight="1">
      <c r="A60" s="22" t="s">
        <v>1175</v>
      </c>
      <c r="B60" s="23">
        <f>SUM(B52:B59)</f>
        <v>29934.121815792918</v>
      </c>
      <c r="C60" s="23">
        <f t="shared" ref="C60:K60" si="23">SUM(C52:C59)</f>
        <v>27695.18054283932</v>
      </c>
      <c r="D60" s="23">
        <f t="shared" si="23"/>
        <v>25280.344890301967</v>
      </c>
      <c r="E60" s="23">
        <f t="shared" si="23"/>
        <v>22684.327903964593</v>
      </c>
      <c r="F60" s="23">
        <f t="shared" si="23"/>
        <v>19898.611018529358</v>
      </c>
      <c r="G60" s="23">
        <f t="shared" si="23"/>
        <v>16915.43624923264</v>
      </c>
      <c r="H60" s="23">
        <f t="shared" si="23"/>
        <v>13725.798132013377</v>
      </c>
      <c r="I60" s="23">
        <f t="shared" si="23"/>
        <v>10321.435404336466</v>
      </c>
      <c r="J60" s="23">
        <f t="shared" si="23"/>
        <v>6694.822418549149</v>
      </c>
      <c r="K60" s="23">
        <f t="shared" si="23"/>
        <v>2835.1602793831771</v>
      </c>
      <c r="N60" s="3027"/>
      <c r="O60" s="3028"/>
    </row>
    <row r="61" spans="1:18" ht="13.15" customHeight="1">
      <c r="A61" s="22" t="str">
        <f>$A31</f>
        <v>DCR Mortgage A</v>
      </c>
      <c r="B61" s="25">
        <f t="shared" ref="B61:K61" si="24">IF(B53=0,"",-B52/B53)</f>
        <v>1.6833624229532602</v>
      </c>
      <c r="C61" s="25">
        <f t="shared" si="24"/>
        <v>1.6473063372452206</v>
      </c>
      <c r="D61" s="25">
        <f t="shared" si="24"/>
        <v>1.6084176346648911</v>
      </c>
      <c r="E61" s="25">
        <f t="shared" si="24"/>
        <v>1.5666111736872754</v>
      </c>
      <c r="F61" s="25">
        <f t="shared" si="24"/>
        <v>1.521749770669284</v>
      </c>
      <c r="G61" s="25">
        <f t="shared" si="24"/>
        <v>1.4737084904163502</v>
      </c>
      <c r="H61" s="25">
        <f t="shared" si="24"/>
        <v>1.4223423082295468</v>
      </c>
      <c r="I61" s="25">
        <f t="shared" si="24"/>
        <v>1.3675181840896375</v>
      </c>
      <c r="J61" s="25">
        <f t="shared" si="24"/>
        <v>1.3091149243770959</v>
      </c>
      <c r="K61" s="26">
        <f t="shared" si="24"/>
        <v>1.246958622836297</v>
      </c>
      <c r="N61" s="3027"/>
      <c r="O61" s="3028"/>
    </row>
    <row r="62" spans="1:18" ht="13.1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3027"/>
      <c r="O62" s="3028"/>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3027"/>
      <c r="O63" s="3028"/>
    </row>
    <row r="64" spans="1:18"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3027"/>
      <c r="O64" s="3028"/>
    </row>
    <row r="65" spans="1:15" ht="13.15" customHeight="1">
      <c r="A65" s="435" t="s">
        <v>3739</v>
      </c>
      <c r="B65" s="25">
        <f t="shared" ref="B65:K65" si="28">IF(AND(B53=0,B54=0,B55=0,B56=0),"",-B52/(B53+B54+B55+B56))</f>
        <v>1.6833624229532602</v>
      </c>
      <c r="C65" s="25">
        <f t="shared" si="28"/>
        <v>1.6473063372452206</v>
      </c>
      <c r="D65" s="25">
        <f t="shared" si="28"/>
        <v>1.6084176346648911</v>
      </c>
      <c r="E65" s="25">
        <f t="shared" si="28"/>
        <v>1.5666111736872754</v>
      </c>
      <c r="F65" s="25">
        <f t="shared" si="28"/>
        <v>1.521749770669284</v>
      </c>
      <c r="G65" s="25">
        <f t="shared" si="28"/>
        <v>1.4737084904163502</v>
      </c>
      <c r="H65" s="25">
        <f t="shared" si="28"/>
        <v>1.4223423082295468</v>
      </c>
      <c r="I65" s="25">
        <f t="shared" si="28"/>
        <v>1.3675181840896375</v>
      </c>
      <c r="J65" s="25">
        <f t="shared" si="28"/>
        <v>1.3091149243770959</v>
      </c>
      <c r="K65" s="26">
        <f t="shared" si="28"/>
        <v>1.246958622836297</v>
      </c>
      <c r="N65" s="3027"/>
      <c r="O65" s="3028"/>
    </row>
    <row r="66" spans="1:15" ht="13.15" customHeight="1">
      <c r="A66" s="22" t="s">
        <v>778</v>
      </c>
      <c r="B66" s="274">
        <f t="shared" ref="B66:K66" si="29">IF(OR(B50="Choose mgt fee",B50="Choose One!"),"",(B44+B45+B46+B47+B48) / -(B49+B50+B51))</f>
        <v>1.241408935805044</v>
      </c>
      <c r="C66" s="274">
        <f t="shared" si="29"/>
        <v>1.2293576898395076</v>
      </c>
      <c r="D66" s="274">
        <f t="shared" si="29"/>
        <v>1.2174201641383213</v>
      </c>
      <c r="E66" s="274">
        <f t="shared" si="29"/>
        <v>1.2056009585778311</v>
      </c>
      <c r="F66" s="274">
        <f t="shared" si="29"/>
        <v>1.1938965603628569</v>
      </c>
      <c r="G66" s="274">
        <f t="shared" si="29"/>
        <v>1.1823062502080635</v>
      </c>
      <c r="H66" s="274">
        <f t="shared" si="29"/>
        <v>1.1708270731948187</v>
      </c>
      <c r="I66" s="274">
        <f t="shared" si="29"/>
        <v>1.1594586225745305</v>
      </c>
      <c r="J66" s="274">
        <f t="shared" si="29"/>
        <v>1.1482025800648541</v>
      </c>
      <c r="K66" s="275">
        <f t="shared" si="29"/>
        <v>1.1370542576635445</v>
      </c>
      <c r="N66" s="3027"/>
      <c r="O66" s="3028"/>
    </row>
    <row r="67" spans="1:15" ht="13.15" customHeight="1">
      <c r="A67" s="435" t="s">
        <v>2634</v>
      </c>
      <c r="B67" s="2282">
        <f>IF('Part III-Sources of Funds'!$I$37="","",-FV('Part III-Sources of Funds'!$K$37/12,12,B53/12,K37))</f>
        <v>980876.50119090988</v>
      </c>
      <c r="C67" s="2282">
        <f>IF('Part III-Sources of Funds'!$I$37="","",-FV('Part III-Sources of Funds'!$K$37/12,12,C53/12,B67))</f>
        <v>938006.40178066737</v>
      </c>
      <c r="D67" s="2282">
        <f>IF('Part III-Sources of Funds'!$I$37="","",-FV('Part III-Sources of Funds'!$K$37/12,12,D53/12,C67))</f>
        <v>894270.99703582714</v>
      </c>
      <c r="E67" s="2282">
        <f>IF('Part III-Sources of Funds'!$I$37="","",-FV('Part III-Sources of Funds'!$K$37/12,12,E53/12,D67))</f>
        <v>849652.82132574264</v>
      </c>
      <c r="F67" s="2282">
        <f>IF('Part III-Sources of Funds'!$I$37="","",-FV('Part III-Sources of Funds'!$K$37/12,12,F53/12,E67))</f>
        <v>804134.05648726597</v>
      </c>
      <c r="G67" s="2282">
        <f>IF('Part III-Sources of Funds'!$I$37="","",-FV('Part III-Sources of Funds'!$K$37/12,12,G53/12,F67))</f>
        <v>757696.52470910689</v>
      </c>
      <c r="H67" s="2282">
        <f>IF('Part III-Sources of Funds'!$I$37="","",-FV('Part III-Sources of Funds'!$K$37/12,12,H53/12,G67))</f>
        <v>710321.68127256643</v>
      </c>
      <c r="I67" s="2282">
        <f>IF('Part III-Sources of Funds'!$I$37="","",-FV('Part III-Sources of Funds'!$K$37/12,12,I53/12,H67))</f>
        <v>661990.60714574729</v>
      </c>
      <c r="J67" s="2282">
        <f>IF('Part III-Sources of Funds'!$I$37="","",-FV('Part III-Sources of Funds'!$K$37/12,12,J53/12,I67))</f>
        <v>612684.0014282834</v>
      </c>
      <c r="K67" s="2282">
        <f>IF('Part III-Sources of Funds'!$I$37="","",-FV('Part III-Sources of Funds'!$K$37/12,12,K53/12,J67))</f>
        <v>562382.17364357063</v>
      </c>
      <c r="N67" s="3027"/>
      <c r="O67" s="3028"/>
    </row>
    <row r="68" spans="1:15" ht="13.15" customHeight="1">
      <c r="A68" s="435" t="s">
        <v>2635</v>
      </c>
      <c r="B68" s="2278" t="str">
        <f>IF('Part III-Sources of Funds'!$I$38="","",-FV('Part III-Sources of Funds'!$K$38/12,12,B54/12,K38))</f>
        <v/>
      </c>
      <c r="C68" s="2278" t="str">
        <f>IF('Part III-Sources of Funds'!$I$38="","",-FV('Part III-Sources of Funds'!$K$38/12,12,C54/12,B68))</f>
        <v/>
      </c>
      <c r="D68" s="2278" t="str">
        <f>IF('Part III-Sources of Funds'!$I$38="","",-FV('Part III-Sources of Funds'!$K$38/12,12,D54/12,C68))</f>
        <v/>
      </c>
      <c r="E68" s="2278" t="str">
        <f>IF('Part III-Sources of Funds'!$I$38="","",-FV('Part III-Sources of Funds'!$K$38/12,12,E54/12,D68))</f>
        <v/>
      </c>
      <c r="F68" s="2278" t="str">
        <f>IF('Part III-Sources of Funds'!$I$38="","",-FV('Part III-Sources of Funds'!$K$38/12,12,F54/12,E68))</f>
        <v/>
      </c>
      <c r="G68" s="2278" t="str">
        <f>IF('Part III-Sources of Funds'!$I$38="","",-FV('Part III-Sources of Funds'!$K$38/12,12,G54/12,F68))</f>
        <v/>
      </c>
      <c r="H68" s="2278" t="str">
        <f>IF('Part III-Sources of Funds'!$I$38="","",-FV('Part III-Sources of Funds'!$K$38/12,12,H54/12,G68))</f>
        <v/>
      </c>
      <c r="I68" s="2278" t="str">
        <f>IF('Part III-Sources of Funds'!$I$38="","",-FV('Part III-Sources of Funds'!$K$38/12,12,I54/12,H68))</f>
        <v/>
      </c>
      <c r="J68" s="2278" t="str">
        <f>IF('Part III-Sources of Funds'!$I$38="","",-FV('Part III-Sources of Funds'!$K$38/12,12,J54/12,I68))</f>
        <v/>
      </c>
      <c r="K68" s="2278" t="str">
        <f>IF('Part III-Sources of Funds'!$I$38="","",-FV('Part III-Sources of Funds'!$K$38/12,12,K54/12,J68))</f>
        <v/>
      </c>
      <c r="N68" s="3027"/>
      <c r="O68" s="3028"/>
    </row>
    <row r="69" spans="1:15" ht="13.15" customHeight="1">
      <c r="A69" s="435" t="s">
        <v>2636</v>
      </c>
      <c r="B69" s="2278" t="str">
        <f>IF('Part III-Sources of Funds'!$I$39="","",-FV('Part III-Sources of Funds'!$K$39/12,12,B55/12,K39))</f>
        <v/>
      </c>
      <c r="C69" s="2278" t="str">
        <f>IF('Part III-Sources of Funds'!$I$39="","",-FV('Part III-Sources of Funds'!$K$39/12,12,C55/12,B69))</f>
        <v/>
      </c>
      <c r="D69" s="2278" t="str">
        <f>IF('Part III-Sources of Funds'!$I$39="","",-FV('Part III-Sources of Funds'!$K$39/12,12,D55/12,C69))</f>
        <v/>
      </c>
      <c r="E69" s="2278" t="str">
        <f>IF('Part III-Sources of Funds'!$I$39="","",-FV('Part III-Sources of Funds'!$K$39/12,12,E55/12,D69))</f>
        <v/>
      </c>
      <c r="F69" s="2278" t="str">
        <f>IF('Part III-Sources of Funds'!$I$39="","",-FV('Part III-Sources of Funds'!$K$39/12,12,F55/12,E69))</f>
        <v/>
      </c>
      <c r="G69" s="2278" t="str">
        <f>IF('Part III-Sources of Funds'!$I$39="","",-FV('Part III-Sources of Funds'!$K$39/12,12,G55/12,F69))</f>
        <v/>
      </c>
      <c r="H69" s="2278" t="str">
        <f>IF('Part III-Sources of Funds'!$I$39="","",-FV('Part III-Sources of Funds'!$K$39/12,12,H55/12,G69))</f>
        <v/>
      </c>
      <c r="I69" s="2278" t="str">
        <f>IF('Part III-Sources of Funds'!$I$39="","",-FV('Part III-Sources of Funds'!$K$39/12,12,I55/12,H69))</f>
        <v/>
      </c>
      <c r="J69" s="2278" t="str">
        <f>IF('Part III-Sources of Funds'!$I$39="","",-FV('Part III-Sources of Funds'!$K$39/12,12,J55/12,I69))</f>
        <v/>
      </c>
      <c r="K69" s="2278" t="str">
        <f>IF('Part III-Sources of Funds'!$I$39="","",-FV('Part III-Sources of Funds'!$K$39/12,12,K55/12,J69))</f>
        <v/>
      </c>
      <c r="N69" s="3027"/>
      <c r="O69" s="3028"/>
    </row>
    <row r="70" spans="1:15" ht="13.15" customHeight="1">
      <c r="A70" s="22" t="s">
        <v>792</v>
      </c>
      <c r="B70" s="2278" t="str">
        <f>IF('Part III-Sources of Funds'!$I$40="","",-FV('Part III-Sources of Funds'!$K$40/12,12,B56/12,K40))</f>
        <v/>
      </c>
      <c r="C70" s="2278" t="str">
        <f>IF('Part III-Sources of Funds'!$I$40="","",-FV('Part III-Sources of Funds'!$K$40/12,12,C56/12,B70))</f>
        <v/>
      </c>
      <c r="D70" s="2278" t="str">
        <f>IF('Part III-Sources of Funds'!$I$40="","",-FV('Part III-Sources of Funds'!$K$40/12,12,D56/12,C70))</f>
        <v/>
      </c>
      <c r="E70" s="2278" t="str">
        <f>IF('Part III-Sources of Funds'!$I$40="","",-FV('Part III-Sources of Funds'!$K$40/12,12,E56/12,D70))</f>
        <v/>
      </c>
      <c r="F70" s="2278" t="str">
        <f>IF('Part III-Sources of Funds'!$I$40="","",-FV('Part III-Sources of Funds'!$K$40/12,12,F56/12,E70))</f>
        <v/>
      </c>
      <c r="G70" s="2278" t="str">
        <f>IF('Part III-Sources of Funds'!$I$40="","",-FV('Part III-Sources of Funds'!$K$40/12,12,G56/12,F70))</f>
        <v/>
      </c>
      <c r="H70" s="2278" t="str">
        <f>IF('Part III-Sources of Funds'!$I$40="","",-FV('Part III-Sources of Funds'!$K$40/12,12,H56/12,G70))</f>
        <v/>
      </c>
      <c r="I70" s="2278" t="str">
        <f>IF('Part III-Sources of Funds'!$I$40="","",-FV('Part III-Sources of Funds'!$K$40/12,12,I56/12,H70))</f>
        <v/>
      </c>
      <c r="J70" s="2278" t="str">
        <f>IF('Part III-Sources of Funds'!$I$40="","",-FV('Part III-Sources of Funds'!$K$40/12,12,J56/12,I70))</f>
        <v/>
      </c>
      <c r="K70" s="2278" t="str">
        <f>IF('Part III-Sources of Funds'!$I$40="","",-FV('Part III-Sources of Funds'!$K$40/12,12,K56/12,J70))</f>
        <v/>
      </c>
      <c r="N70" s="3027"/>
      <c r="O70" s="3028"/>
    </row>
    <row r="71" spans="1:15" ht="13.15" customHeight="1">
      <c r="A71" s="435" t="s">
        <v>4128</v>
      </c>
      <c r="B71" s="2281" t="str">
        <f>IF('Part III-Sources of Funds'!$I$42="","",IF(-FV('Part III-Sources of Funds'!$K$42/12,12,B59/12,K41)&gt;0,-FV('Part III-Sources of Funds'!$K$42/12,12,B59/12,K41),0))</f>
        <v/>
      </c>
      <c r="C71" s="2281" t="str">
        <f>IF('Part III-Sources of Funds'!$I$42="","",IF(-FV('Part III-Sources of Funds'!$K$42/12,12,C59/12,B71)&gt;0,-FV('Part III-Sources of Funds'!$K$42/12,12,C59/12,B71),0))</f>
        <v/>
      </c>
      <c r="D71" s="2281" t="str">
        <f>IF('Part III-Sources of Funds'!$I$42="","",IF(-FV('Part III-Sources of Funds'!$K$42/12,12,D59/12,C71)&gt;0,-FV('Part III-Sources of Funds'!$K$42/12,12,D59/12,C71),0))</f>
        <v/>
      </c>
      <c r="E71" s="2281" t="str">
        <f>IF('Part III-Sources of Funds'!$I$42="","",IF(-FV('Part III-Sources of Funds'!$K$42/12,12,E59/12,D71)&gt;0,-FV('Part III-Sources of Funds'!$K$42/12,12,E59/12,D71),0))</f>
        <v/>
      </c>
      <c r="F71" s="2281" t="str">
        <f>IF('Part III-Sources of Funds'!$I$42="","",IF(-FV('Part III-Sources of Funds'!$K$42/12,12,F59/12,E71)&gt;0,-FV('Part III-Sources of Funds'!$K$42/12,12,F59/12,E71),0))</f>
        <v/>
      </c>
      <c r="G71" s="2281" t="str">
        <f>IF('Part III-Sources of Funds'!$I$42="","",IF(-FV('Part III-Sources of Funds'!$K$42/12,12,G59/12,F71)&gt;0,-FV('Part III-Sources of Funds'!$K$42/12,12,G59/12,F71),0))</f>
        <v/>
      </c>
      <c r="H71" s="2281" t="str">
        <f>IF('Part III-Sources of Funds'!$I$40="","",-FV('Part III-Sources of Funds'!$K$40/12,12,H57/12,G71))</f>
        <v/>
      </c>
      <c r="I71" s="2281" t="str">
        <f>IF('Part III-Sources of Funds'!$I$40="","",-FV('Part III-Sources of Funds'!$K$40/12,12,I57/12,H71))</f>
        <v/>
      </c>
      <c r="J71" s="2281" t="str">
        <f>IF('Part III-Sources of Funds'!$I$40="","",-FV('Part III-Sources of Funds'!$K$40/12,12,J57/12,I71))</f>
        <v/>
      </c>
      <c r="K71" s="2281" t="str">
        <f>IF('Part III-Sources of Funds'!$I$40="","",-FV('Part III-Sources of Funds'!$K$40/12,12,K57/12,J71))</f>
        <v/>
      </c>
      <c r="N71" s="3069"/>
      <c r="O71" s="3070"/>
    </row>
    <row r="72" spans="1:15" ht="4.1500000000000004" customHeight="1">
      <c r="B72" s="18"/>
      <c r="C72" s="18"/>
      <c r="D72" s="18"/>
      <c r="E72" s="18"/>
      <c r="F72" s="18"/>
      <c r="G72" s="18"/>
      <c r="H72" s="18"/>
      <c r="I72" s="18"/>
      <c r="J72" s="18"/>
      <c r="K72" s="18"/>
    </row>
    <row r="73" spans="1:15" ht="14.45" customHeight="1">
      <c r="A73" s="14" t="s">
        <v>2496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2710" t="s">
        <v>2640</v>
      </c>
      <c r="O73" s="2710"/>
    </row>
    <row r="74" spans="1:15" ht="13.15" customHeight="1">
      <c r="A74" s="19" t="s">
        <v>2420</v>
      </c>
      <c r="B74" s="20">
        <f t="shared" ref="B74:K74" si="31">$B$14*(1+$B$5)^(B73-1)</f>
        <v>690751.56270491378</v>
      </c>
      <c r="C74" s="20">
        <f t="shared" si="31"/>
        <v>704566.59395901207</v>
      </c>
      <c r="D74" s="20">
        <f t="shared" si="31"/>
        <v>718657.92583819234</v>
      </c>
      <c r="E74" s="20">
        <f t="shared" si="31"/>
        <v>733031.08435495605</v>
      </c>
      <c r="F74" s="20">
        <f t="shared" si="31"/>
        <v>747691.70604205516</v>
      </c>
      <c r="G74" s="20">
        <f t="shared" si="31"/>
        <v>762645.54016289627</v>
      </c>
      <c r="H74" s="20">
        <f t="shared" si="31"/>
        <v>777898.45096615434</v>
      </c>
      <c r="I74" s="20">
        <f t="shared" si="31"/>
        <v>793456.41998547723</v>
      </c>
      <c r="J74" s="20">
        <f t="shared" si="31"/>
        <v>809325.54838518694</v>
      </c>
      <c r="K74" s="21">
        <f t="shared" si="31"/>
        <v>825512.05935289059</v>
      </c>
      <c r="N74" s="3034"/>
      <c r="O74" s="3035"/>
    </row>
    <row r="75" spans="1:15" ht="13.15" customHeight="1">
      <c r="A75" s="22" t="s">
        <v>1026</v>
      </c>
      <c r="B75" s="23">
        <f t="shared" ref="B75:K75" si="32">$B$15*(1+$B$5)^(B73-1)</f>
        <v>13815.031254098278</v>
      </c>
      <c r="C75" s="23">
        <f t="shared" si="32"/>
        <v>14091.331879180243</v>
      </c>
      <c r="D75" s="23">
        <f t="shared" si="32"/>
        <v>14373.158516763848</v>
      </c>
      <c r="E75" s="23">
        <f t="shared" si="32"/>
        <v>14660.621687099123</v>
      </c>
      <c r="F75" s="23">
        <f t="shared" si="32"/>
        <v>14953.834120841106</v>
      </c>
      <c r="G75" s="23">
        <f t="shared" si="32"/>
        <v>15252.910803257928</v>
      </c>
      <c r="H75" s="23">
        <f t="shared" si="32"/>
        <v>15557.969019323087</v>
      </c>
      <c r="I75" s="23">
        <f t="shared" si="32"/>
        <v>15869.128399709547</v>
      </c>
      <c r="J75" s="23">
        <f t="shared" si="32"/>
        <v>16186.510967703742</v>
      </c>
      <c r="K75" s="24">
        <f t="shared" si="32"/>
        <v>16510.241187057814</v>
      </c>
      <c r="N75" s="3027"/>
      <c r="O75" s="3028"/>
    </row>
    <row r="76" spans="1:15" ht="13.15" customHeight="1">
      <c r="A76" s="22" t="s">
        <v>2421</v>
      </c>
      <c r="B76" s="23">
        <f t="shared" ref="B76:K76" si="33">-(B74+B75)*$B$8</f>
        <v>-49319.66157713085</v>
      </c>
      <c r="C76" s="23">
        <f t="shared" si="33"/>
        <v>-50306.054808673471</v>
      </c>
      <c r="D76" s="23">
        <f t="shared" si="33"/>
        <v>-51312.175904846939</v>
      </c>
      <c r="E76" s="23">
        <f t="shared" si="33"/>
        <v>-52338.419422943865</v>
      </c>
      <c r="F76" s="23">
        <f t="shared" si="33"/>
        <v>-53385.187811402742</v>
      </c>
      <c r="G76" s="23">
        <f t="shared" si="33"/>
        <v>-54452.891567630802</v>
      </c>
      <c r="H76" s="23">
        <f t="shared" si="33"/>
        <v>-55541.94939898343</v>
      </c>
      <c r="I76" s="23">
        <f t="shared" si="33"/>
        <v>-56652.788386963082</v>
      </c>
      <c r="J76" s="23">
        <f t="shared" si="33"/>
        <v>-57785.844154702354</v>
      </c>
      <c r="K76" s="24">
        <f t="shared" si="33"/>
        <v>-58941.561037796397</v>
      </c>
      <c r="N76" s="3027"/>
      <c r="O76" s="3028"/>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027"/>
      <c r="O77" s="3028"/>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027"/>
      <c r="O78" s="3028"/>
    </row>
    <row r="79" spans="1:15" ht="13.15" customHeight="1">
      <c r="A79" s="22" t="s">
        <v>620</v>
      </c>
      <c r="B79" s="23">
        <f t="shared" ref="B79:K79" si="34">$B$19*(1+$B$6)^(B73-1)</f>
        <v>-484729.55149428116</v>
      </c>
      <c r="C79" s="23">
        <f t="shared" si="34"/>
        <v>-499271.43803910952</v>
      </c>
      <c r="D79" s="23">
        <f t="shared" si="34"/>
        <v>-514249.58118028287</v>
      </c>
      <c r="E79" s="23">
        <f t="shared" si="34"/>
        <v>-529677.06861569139</v>
      </c>
      <c r="F79" s="23">
        <f t="shared" si="34"/>
        <v>-545567.38067416206</v>
      </c>
      <c r="G79" s="23">
        <f t="shared" si="34"/>
        <v>-561934.40209438687</v>
      </c>
      <c r="H79" s="23">
        <f t="shared" si="34"/>
        <v>-578792.43415721855</v>
      </c>
      <c r="I79" s="23">
        <f t="shared" si="34"/>
        <v>-596156.20718193508</v>
      </c>
      <c r="J79" s="23">
        <f t="shared" si="34"/>
        <v>-614040.89339739305</v>
      </c>
      <c r="K79" s="24">
        <f t="shared" si="34"/>
        <v>-632462.12019931478</v>
      </c>
      <c r="N79" s="3027"/>
      <c r="O79" s="3028"/>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-54942</v>
      </c>
      <c r="C80" s="23">
        <f>IF(AND('Part VII-Pro Forma'!$G$8="Yes",'Part VII-Pro Forma'!$G$9="Yes"),"Choose One!",IF('Part VII-Pro Forma'!$G$8="Yes",ROUND((-$K$8*(1+'Part VII-Pro Forma'!$B$6)^('Part VII-Pro Forma'!C73-1)),),IF('Part VII-Pro Forma'!$G$9="Yes",ROUND((-(SUM(C74:C77)*'Part VII-Pro Forma'!$K$9)),),"Choose mgt fee")))</f>
        <v>-56590</v>
      </c>
      <c r="D80" s="23">
        <f>IF(AND('Part VII-Pro Forma'!$G$8="Yes",'Part VII-Pro Forma'!$G$9="Yes"),"Choose One!",IF('Part VII-Pro Forma'!$G$8="Yes",ROUND((-$K$8*(1+'Part VII-Pro Forma'!$B$6)^('Part VII-Pro Forma'!D73-1)),),IF('Part VII-Pro Forma'!$G$9="Yes",ROUND((-(SUM(D74:D77)*'Part VII-Pro Forma'!$K$9)),),"Choose mgt fee")))</f>
        <v>-58288</v>
      </c>
      <c r="E80" s="23">
        <f>IF(AND('Part VII-Pro Forma'!$G$8="Yes",'Part VII-Pro Forma'!$G$9="Yes"),"Choose One!",IF('Part VII-Pro Forma'!$G$8="Yes",ROUND((-$K$8*(1+'Part VII-Pro Forma'!$B$6)^('Part VII-Pro Forma'!E73-1)),),IF('Part VII-Pro Forma'!$G$9="Yes",ROUND((-(SUM(E74:E77)*'Part VII-Pro Forma'!$K$9)),),"Choose mgt fee")))</f>
        <v>-60037</v>
      </c>
      <c r="F80" s="23">
        <f>IF(AND('Part VII-Pro Forma'!$G$8="Yes",'Part VII-Pro Forma'!$G$9="Yes"),"Choose One!",IF('Part VII-Pro Forma'!$G$8="Yes",ROUND((-$K$8*(1+'Part VII-Pro Forma'!$B$6)^('Part VII-Pro Forma'!F73-1)),),IF('Part VII-Pro Forma'!$G$9="Yes",ROUND((-(SUM(F74:F77)*'Part VII-Pro Forma'!$K$9)),),"Choose mgt fee")))</f>
        <v>-61838</v>
      </c>
      <c r="G80" s="23">
        <f>IF(AND('Part VII-Pro Forma'!$G$8="Yes",'Part VII-Pro Forma'!$G$9="Yes"),"Choose One!",IF('Part VII-Pro Forma'!$G$8="Yes",ROUND((-$K$8*(1+'Part VII-Pro Forma'!$B$6)^('Part VII-Pro Forma'!G73-1)),),IF('Part VII-Pro Forma'!$G$9="Yes",ROUND((-(SUM(G74:G77)*'Part VII-Pro Forma'!$K$9)),),"Choose mgt fee")))</f>
        <v>-63693</v>
      </c>
      <c r="H80" s="23">
        <f>IF(AND('Part VII-Pro Forma'!$G$8="Yes",'Part VII-Pro Forma'!$G$9="Yes"),"Choose One!",IF('Part VII-Pro Forma'!$G$8="Yes",ROUND((-$K$8*(1+'Part VII-Pro Forma'!$B$6)^('Part VII-Pro Forma'!H73-1)),),IF('Part VII-Pro Forma'!$G$9="Yes",ROUND((-(SUM(H74:H77)*'Part VII-Pro Forma'!$K$9)),),"Choose mgt fee")))</f>
        <v>-65604</v>
      </c>
      <c r="I80" s="23">
        <f>IF(AND('Part VII-Pro Forma'!$G$8="Yes",'Part VII-Pro Forma'!$G$9="Yes"),"Choose One!",IF('Part VII-Pro Forma'!$G$8="Yes",ROUND((-$K$8*(1+'Part VII-Pro Forma'!$B$6)^('Part VII-Pro Forma'!I73-1)),),IF('Part VII-Pro Forma'!$G$9="Yes",ROUND((-(SUM(I74:I77)*'Part VII-Pro Forma'!$K$9)),),"Choose mgt fee")))</f>
        <v>-67572</v>
      </c>
      <c r="J80" s="23">
        <f>IF(AND('Part VII-Pro Forma'!$G$8="Yes",'Part VII-Pro Forma'!$G$9="Yes"),"Choose One!",IF('Part VII-Pro Forma'!$G$8="Yes",ROUND((-$K$8*(1+'Part VII-Pro Forma'!$B$6)^('Part VII-Pro Forma'!J73-1)),),IF('Part VII-Pro Forma'!$G$9="Yes",ROUND((-(SUM(J74:J77)*'Part VII-Pro Forma'!$K$9)),),"Choose mgt fee")))</f>
        <v>-69599</v>
      </c>
      <c r="K80" s="23">
        <f>IF(AND('Part VII-Pro Forma'!$G$8="Yes",'Part VII-Pro Forma'!$G$9="Yes"),"Choose One!",IF('Part VII-Pro Forma'!$G$8="Yes",ROUND((-$K$8*(1+'Part VII-Pro Forma'!$B$6)^('Part VII-Pro Forma'!K73-1)),),IF('Part VII-Pro Forma'!$G$9="Yes",ROUND((-(SUM(K74:K77)*'Part VII-Pro Forma'!$K$9)),),"Choose mgt fee")))</f>
        <v>-71687</v>
      </c>
      <c r="N80" s="3027"/>
      <c r="O80" s="3028"/>
    </row>
    <row r="81" spans="1:15" ht="13.15" customHeight="1">
      <c r="A81" s="22" t="s">
        <v>1214</v>
      </c>
      <c r="B81" s="23">
        <f t="shared" ref="B81:K81" si="35">$B$21*(1+$B$7)^(B73-1)</f>
        <v>-42244.941778917579</v>
      </c>
      <c r="C81" s="23">
        <f t="shared" si="35"/>
        <v>-43512.290032285098</v>
      </c>
      <c r="D81" s="23">
        <f t="shared" si="35"/>
        <v>-44817.658733253658</v>
      </c>
      <c r="E81" s="23">
        <f t="shared" si="35"/>
        <v>-46162.18849525127</v>
      </c>
      <c r="F81" s="23">
        <f t="shared" si="35"/>
        <v>-47547.054150108801</v>
      </c>
      <c r="G81" s="23">
        <f t="shared" si="35"/>
        <v>-48973.465774612065</v>
      </c>
      <c r="H81" s="23">
        <f t="shared" si="35"/>
        <v>-50442.669747850428</v>
      </c>
      <c r="I81" s="23">
        <f t="shared" si="35"/>
        <v>-51955.949840285939</v>
      </c>
      <c r="J81" s="23">
        <f t="shared" si="35"/>
        <v>-53514.628335494519</v>
      </c>
      <c r="K81" s="24">
        <f t="shared" si="35"/>
        <v>-55120.067185559346</v>
      </c>
      <c r="N81" s="3027"/>
      <c r="O81" s="3028"/>
    </row>
    <row r="82" spans="1:15" ht="13.15" customHeight="1">
      <c r="A82" s="22" t="s">
        <v>1215</v>
      </c>
      <c r="B82" s="23">
        <f t="shared" ref="B82:K82" si="36">SUM(B74:B81)</f>
        <v>73330.439108682433</v>
      </c>
      <c r="C82" s="23">
        <f t="shared" si="36"/>
        <v>68978.142958124285</v>
      </c>
      <c r="D82" s="23">
        <f t="shared" si="36"/>
        <v>64363.668536572659</v>
      </c>
      <c r="E82" s="23">
        <f t="shared" si="36"/>
        <v>59477.029508168656</v>
      </c>
      <c r="F82" s="23">
        <f t="shared" si="36"/>
        <v>54307.917527222686</v>
      </c>
      <c r="G82" s="23">
        <f t="shared" si="36"/>
        <v>48844.691529524483</v>
      </c>
      <c r="H82" s="23">
        <f t="shared" si="36"/>
        <v>43075.366681425097</v>
      </c>
      <c r="I82" s="23">
        <f t="shared" si="36"/>
        <v>36988.602976002723</v>
      </c>
      <c r="J82" s="23">
        <f t="shared" si="36"/>
        <v>30571.693465300748</v>
      </c>
      <c r="K82" s="24">
        <f t="shared" si="36"/>
        <v>23811.552117277832</v>
      </c>
      <c r="N82" s="3027"/>
      <c r="O82" s="3028"/>
    </row>
    <row r="83" spans="1:15" ht="13.15" customHeight="1">
      <c r="A83" s="22" t="str">
        <f>$A53</f>
        <v>Mortgage A</v>
      </c>
      <c r="B83" s="2277">
        <f>IF('Part III-Sources of Funds'!$N$37="", 0,-'Part III-Sources of Funds'!$N$37)</f>
        <v>-62096.071411721852</v>
      </c>
      <c r="C83" s="2277">
        <f>IF('Part III-Sources of Funds'!$N$37="", 0,-'Part III-Sources of Funds'!$N$37)</f>
        <v>-62096.071411721852</v>
      </c>
      <c r="D83" s="2277">
        <f>IF('Part III-Sources of Funds'!$N$37="", 0,-'Part III-Sources of Funds'!$N$37)</f>
        <v>-62096.071411721852</v>
      </c>
      <c r="E83" s="2277">
        <f>IF('Part III-Sources of Funds'!$N$37="", 0,-'Part III-Sources of Funds'!$N$37)</f>
        <v>-62096.071411721852</v>
      </c>
      <c r="F83" s="2277">
        <f>IF('Part III-Sources of Funds'!$N$37="", 0,-'Part III-Sources of Funds'!$N$37)</f>
        <v>-62096.071411721852</v>
      </c>
      <c r="G83" s="2277">
        <f>IF('Part III-Sources of Funds'!$N$37="", 0,-'Part III-Sources of Funds'!$N$37)</f>
        <v>-62096.071411721852</v>
      </c>
      <c r="H83" s="2277">
        <f>IF('Part III-Sources of Funds'!$N$37="", 0,-'Part III-Sources of Funds'!$N$37)</f>
        <v>-62096.071411721852</v>
      </c>
      <c r="I83" s="2277">
        <f>IF('Part III-Sources of Funds'!$N$37="", 0,-'Part III-Sources of Funds'!$N$37)</f>
        <v>-62096.071411721852</v>
      </c>
      <c r="J83" s="2277">
        <f>IF('Part III-Sources of Funds'!$N$37="", 0,-'Part III-Sources of Funds'!$N$37)</f>
        <v>-62096.071411721852</v>
      </c>
      <c r="K83" s="2277">
        <f>IF('Part III-Sources of Funds'!$N$37="", 0,-'Part III-Sources of Funds'!$N$37)</f>
        <v>-62096.071411721852</v>
      </c>
      <c r="N83" s="3027"/>
      <c r="O83" s="3028"/>
    </row>
    <row r="84" spans="1:15" ht="13.15" customHeight="1">
      <c r="A84" s="22" t="str">
        <f>$A54</f>
        <v>Mortgage B</v>
      </c>
      <c r="B84" s="2278">
        <f>IF('Part III-Sources of Funds'!$N$38="", 0,-'Part III-Sources of Funds'!$N$38)</f>
        <v>0</v>
      </c>
      <c r="C84" s="2278">
        <f>IF('Part III-Sources of Funds'!$N$38="", 0,-'Part III-Sources of Funds'!$N$38)</f>
        <v>0</v>
      </c>
      <c r="D84" s="2278">
        <f>IF('Part III-Sources of Funds'!$N$38="", 0,-'Part III-Sources of Funds'!$N$38)</f>
        <v>0</v>
      </c>
      <c r="E84" s="2278">
        <f>IF('Part III-Sources of Funds'!$N$38="", 0,-'Part III-Sources of Funds'!$N$38)</f>
        <v>0</v>
      </c>
      <c r="F84" s="2278">
        <f>IF('Part III-Sources of Funds'!$N$38="", 0,-'Part III-Sources of Funds'!$N$38)</f>
        <v>0</v>
      </c>
      <c r="G84" s="2278">
        <f>IF('Part III-Sources of Funds'!$N$38="", 0,-'Part III-Sources of Funds'!$N$38)</f>
        <v>0</v>
      </c>
      <c r="H84" s="2278">
        <f>IF('Part III-Sources of Funds'!$N$38="", 0,-'Part III-Sources of Funds'!$N$38)</f>
        <v>0</v>
      </c>
      <c r="I84" s="2278">
        <f>IF('Part III-Sources of Funds'!$N$38="", 0,-'Part III-Sources of Funds'!$N$38)</f>
        <v>0</v>
      </c>
      <c r="J84" s="2278">
        <f>IF('Part III-Sources of Funds'!$N$38="", 0,-'Part III-Sources of Funds'!$N$38)</f>
        <v>0</v>
      </c>
      <c r="K84" s="2278">
        <f>IF('Part III-Sources of Funds'!$N$38="", 0,-'Part III-Sources of Funds'!$N$38)</f>
        <v>0</v>
      </c>
      <c r="N84" s="3027"/>
      <c r="O84" s="3028"/>
    </row>
    <row r="85" spans="1:15" ht="13.15" customHeight="1">
      <c r="A85" s="22" t="str">
        <f>$A55</f>
        <v>Mortgage C</v>
      </c>
      <c r="B85" s="2278">
        <f>IF('Part III-Sources of Funds'!$N$39="", 0,-'Part III-Sources of Funds'!$N$39)</f>
        <v>0</v>
      </c>
      <c r="C85" s="2278">
        <f>IF('Part III-Sources of Funds'!$N$39="", 0,-'Part III-Sources of Funds'!$N$39)</f>
        <v>0</v>
      </c>
      <c r="D85" s="2278">
        <f>IF('Part III-Sources of Funds'!$N$39="", 0,-'Part III-Sources of Funds'!$N$39)</f>
        <v>0</v>
      </c>
      <c r="E85" s="2278">
        <f>IF('Part III-Sources of Funds'!$N$39="", 0,-'Part III-Sources of Funds'!$N$39)</f>
        <v>0</v>
      </c>
      <c r="F85" s="2278">
        <f>IF('Part III-Sources of Funds'!$N$39="", 0,-'Part III-Sources of Funds'!$N$39)</f>
        <v>0</v>
      </c>
      <c r="G85" s="2278">
        <f>IF('Part III-Sources of Funds'!$N$39="", 0,-'Part III-Sources of Funds'!$N$39)</f>
        <v>0</v>
      </c>
      <c r="H85" s="2278">
        <f>IF('Part III-Sources of Funds'!$N$39="", 0,-'Part III-Sources of Funds'!$N$39)</f>
        <v>0</v>
      </c>
      <c r="I85" s="2278">
        <f>IF('Part III-Sources of Funds'!$N$39="", 0,-'Part III-Sources of Funds'!$N$39)</f>
        <v>0</v>
      </c>
      <c r="J85" s="2278">
        <f>IF('Part III-Sources of Funds'!$N$39="", 0,-'Part III-Sources of Funds'!$N$39)</f>
        <v>0</v>
      </c>
      <c r="K85" s="2278">
        <f>IF('Part III-Sources of Funds'!$N$39="", 0,-'Part III-Sources of Funds'!$N$39)</f>
        <v>0</v>
      </c>
      <c r="N85" s="3027"/>
      <c r="O85" s="3028"/>
    </row>
    <row r="86" spans="1:15" ht="13.15" customHeight="1">
      <c r="A86" s="22" t="str">
        <f>$A56</f>
        <v>D/S Other Source,not DDF</v>
      </c>
      <c r="B86" s="2278">
        <f>IF('Part III-Sources of Funds'!$N$40="", 0,-'Part III-Sources of Funds'!$N$40)</f>
        <v>0</v>
      </c>
      <c r="C86" s="2278">
        <f>IF('Part III-Sources of Funds'!$N$40="", 0,-'Part III-Sources of Funds'!$N$40)</f>
        <v>0</v>
      </c>
      <c r="D86" s="2278">
        <f>IF('Part III-Sources of Funds'!$N$40="", 0,-'Part III-Sources of Funds'!$N$40)</f>
        <v>0</v>
      </c>
      <c r="E86" s="2278">
        <f>IF('Part III-Sources of Funds'!$N$40="", 0,-'Part III-Sources of Funds'!$N$40)</f>
        <v>0</v>
      </c>
      <c r="F86" s="2278">
        <f>IF('Part III-Sources of Funds'!$N$40="", 0,-'Part III-Sources of Funds'!$N$40)</f>
        <v>0</v>
      </c>
      <c r="G86" s="2278">
        <f>IF('Part III-Sources of Funds'!$N$40="", 0,-'Part III-Sources of Funds'!$N$40)</f>
        <v>0</v>
      </c>
      <c r="H86" s="2278">
        <f>IF('Part III-Sources of Funds'!$N$40="", 0,-'Part III-Sources of Funds'!$N$40)</f>
        <v>0</v>
      </c>
      <c r="I86" s="2278">
        <f>IF('Part III-Sources of Funds'!$N$40="", 0,-'Part III-Sources of Funds'!$N$40)</f>
        <v>0</v>
      </c>
      <c r="J86" s="2278">
        <f>IF('Part III-Sources of Funds'!$N$40="", 0,-'Part III-Sources of Funds'!$N$40)</f>
        <v>0</v>
      </c>
      <c r="K86" s="2278">
        <f>IF('Part III-Sources of Funds'!$N$40="", 0,-'Part III-Sources of Funds'!$N$40)</f>
        <v>0</v>
      </c>
      <c r="N86" s="3027"/>
      <c r="O86" s="3028"/>
    </row>
    <row r="87" spans="1:15" ht="13.15" customHeight="1">
      <c r="A87" s="22" t="s">
        <v>771</v>
      </c>
      <c r="B87" s="2279"/>
      <c r="C87" s="2279"/>
      <c r="D87" s="2279"/>
      <c r="E87" s="2279"/>
      <c r="F87" s="2279"/>
      <c r="G87" s="2279"/>
      <c r="H87" s="2279"/>
      <c r="I87" s="2279"/>
      <c r="J87" s="2279"/>
      <c r="K87" s="2279"/>
      <c r="N87" s="3027"/>
      <c r="O87" s="3028"/>
    </row>
    <row r="88" spans="1:15" ht="13.15" customHeight="1">
      <c r="A88" s="435" t="s">
        <v>1174</v>
      </c>
      <c r="B88" s="2281">
        <f>+K58</f>
        <v>-12500</v>
      </c>
      <c r="C88" s="2281">
        <f t="shared" ref="C88:K88" si="37">+B88</f>
        <v>-12500</v>
      </c>
      <c r="D88" s="2281">
        <f t="shared" si="37"/>
        <v>-12500</v>
      </c>
      <c r="E88" s="2281">
        <f t="shared" si="37"/>
        <v>-12500</v>
      </c>
      <c r="F88" s="2281">
        <f t="shared" si="37"/>
        <v>-12500</v>
      </c>
      <c r="G88" s="2281">
        <f t="shared" si="37"/>
        <v>-12500</v>
      </c>
      <c r="H88" s="2281">
        <f t="shared" si="37"/>
        <v>-12500</v>
      </c>
      <c r="I88" s="2281">
        <f t="shared" si="37"/>
        <v>-12500</v>
      </c>
      <c r="J88" s="2281">
        <f t="shared" si="37"/>
        <v>-12500</v>
      </c>
      <c r="K88" s="2281">
        <f t="shared" si="37"/>
        <v>-12500</v>
      </c>
      <c r="N88" s="3027"/>
      <c r="O88" s="3028"/>
    </row>
    <row r="89" spans="1:15" ht="13.15" customHeight="1">
      <c r="A89" s="22" t="s">
        <v>1175</v>
      </c>
      <c r="B89" s="23">
        <f t="shared" ref="B89:K89" si="38">SUM(B82:B88)</f>
        <v>-1265.6323030394196</v>
      </c>
      <c r="C89" s="23">
        <f t="shared" si="38"/>
        <v>-5617.9284535975676</v>
      </c>
      <c r="D89" s="23">
        <f t="shared" si="38"/>
        <v>-10232.402875149193</v>
      </c>
      <c r="E89" s="23">
        <f t="shared" si="38"/>
        <v>-15119.041903553196</v>
      </c>
      <c r="F89" s="23">
        <f t="shared" si="38"/>
        <v>-20288.153884499166</v>
      </c>
      <c r="G89" s="23">
        <f t="shared" si="38"/>
        <v>-25751.379882197369</v>
      </c>
      <c r="H89" s="23">
        <f t="shared" si="38"/>
        <v>-31520.704730296755</v>
      </c>
      <c r="I89" s="23">
        <f t="shared" si="38"/>
        <v>-37607.468435719129</v>
      </c>
      <c r="J89" s="23">
        <f t="shared" si="38"/>
        <v>-44024.377946421104</v>
      </c>
      <c r="K89" s="24">
        <f t="shared" si="38"/>
        <v>-50784.51929444402</v>
      </c>
      <c r="N89" s="3027"/>
      <c r="O89" s="3028"/>
    </row>
    <row r="90" spans="1:15" ht="13.15" customHeight="1">
      <c r="A90" s="22" t="str">
        <f>$A61</f>
        <v>DCR Mortgage A</v>
      </c>
      <c r="B90" s="25">
        <f>IF(B83=0,"",-B82/B83)</f>
        <v>1.1809191377417778</v>
      </c>
      <c r="C90" s="25">
        <f t="shared" ref="C90:K90" si="39">IF(C83=0,"",-C82/C83)</f>
        <v>1.1108294194776274</v>
      </c>
      <c r="D90" s="25">
        <f t="shared" si="39"/>
        <v>1.0365175617925284</v>
      </c>
      <c r="E90" s="25">
        <f t="shared" si="39"/>
        <v>0.95782274395125744</v>
      </c>
      <c r="F90" s="25">
        <f t="shared" si="39"/>
        <v>0.87457895954704468</v>
      </c>
      <c r="G90" s="25">
        <f t="shared" si="39"/>
        <v>0.78659873996962859</v>
      </c>
      <c r="H90" s="25">
        <f t="shared" si="39"/>
        <v>0.69368908051876821</v>
      </c>
      <c r="I90" s="25">
        <f t="shared" si="39"/>
        <v>0.59566736083436667</v>
      </c>
      <c r="J90" s="25">
        <f t="shared" si="39"/>
        <v>0.49232894723078635</v>
      </c>
      <c r="K90" s="26">
        <f t="shared" si="39"/>
        <v>0.38346310122258287</v>
      </c>
      <c r="N90" s="3027"/>
      <c r="O90" s="3028"/>
    </row>
    <row r="91" spans="1:15" ht="13.15"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3027"/>
      <c r="O91" s="3028"/>
    </row>
    <row r="92" spans="1:15" ht="13.15"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3027"/>
      <c r="O92" s="3028"/>
    </row>
    <row r="93" spans="1:15" ht="13.15"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3027"/>
      <c r="O93" s="3028"/>
    </row>
    <row r="94" spans="1:15" ht="13.15" customHeight="1">
      <c r="A94" s="435" t="s">
        <v>3739</v>
      </c>
      <c r="B94" s="25">
        <f>IF(AND(B83=0,B84=0,B85=0,B86=0),"",-B82/(B83+B84+B85+B86))</f>
        <v>1.1809191377417778</v>
      </c>
      <c r="C94" s="25">
        <f t="shared" ref="C94:K94" si="43">IF(AND(C83=0,C84=0,C85=0,C86=0),"",-C82/(C83+C84+C85+C86))</f>
        <v>1.1108294194776274</v>
      </c>
      <c r="D94" s="25">
        <f t="shared" si="43"/>
        <v>1.0365175617925284</v>
      </c>
      <c r="E94" s="25">
        <f t="shared" si="43"/>
        <v>0.95782274395125744</v>
      </c>
      <c r="F94" s="25">
        <f t="shared" si="43"/>
        <v>0.87457895954704468</v>
      </c>
      <c r="G94" s="25">
        <f t="shared" si="43"/>
        <v>0.78659873996962859</v>
      </c>
      <c r="H94" s="25">
        <f t="shared" si="43"/>
        <v>0.69368908051876821</v>
      </c>
      <c r="I94" s="25">
        <f t="shared" si="43"/>
        <v>0.59566736083436667</v>
      </c>
      <c r="J94" s="25">
        <f t="shared" si="43"/>
        <v>0.49232894723078635</v>
      </c>
      <c r="K94" s="26">
        <f t="shared" si="43"/>
        <v>0.38346310122258287</v>
      </c>
      <c r="N94" s="3027"/>
      <c r="O94" s="3028"/>
    </row>
    <row r="95" spans="1:15" ht="13.15" customHeight="1">
      <c r="A95" s="22" t="s">
        <v>778</v>
      </c>
      <c r="B95" s="274">
        <f>IF(OR(B80="Choose mgt fee",B80="Choose One!"),"",(B74+B75+B76+B77+B78) / -(B79+B80+B81))</f>
        <v>1.1260153990415516</v>
      </c>
      <c r="C95" s="274">
        <f t="shared" ref="C95:K95" si="44">IF(OR(C80="Choose mgt fee",C80="Choose One!"),"",(C74+C75+C76+C77+C78) / -(C79+C80+C81))</f>
        <v>1.1150836944089544</v>
      </c>
      <c r="D95" s="274">
        <f t="shared" si="44"/>
        <v>1.10425710251619</v>
      </c>
      <c r="E95" s="274">
        <f t="shared" si="44"/>
        <v>1.093535540670127</v>
      </c>
      <c r="F95" s="274">
        <f t="shared" si="44"/>
        <v>1.0829188726381236</v>
      </c>
      <c r="G95" s="274">
        <f t="shared" si="44"/>
        <v>1.0724053197319776</v>
      </c>
      <c r="H95" s="274">
        <f t="shared" si="44"/>
        <v>1.0619932966341949</v>
      </c>
      <c r="I95" s="274">
        <f t="shared" si="44"/>
        <v>1.0516828584412192</v>
      </c>
      <c r="J95" s="274">
        <f t="shared" si="44"/>
        <v>1.0414725713049056</v>
      </c>
      <c r="K95" s="275">
        <f t="shared" si="44"/>
        <v>1.0313611463666676</v>
      </c>
      <c r="N95" s="3027"/>
      <c r="O95" s="3028"/>
    </row>
    <row r="96" spans="1:15" ht="13.15" customHeight="1">
      <c r="A96" s="435" t="s">
        <v>2634</v>
      </c>
      <c r="B96" s="2282">
        <f>IF('Part III-Sources of Funds'!$I$37="","",-FV('Part III-Sources of Funds'!$K$37/12,12,B83/12,K67))</f>
        <v>511065.03587542154</v>
      </c>
      <c r="C96" s="2282">
        <f>IF('Part III-Sources of Funds'!$I$37="","",-FV('Part III-Sources of Funds'!$K$37/12,12,C83/12,B96))</f>
        <v>458712.09474600351</v>
      </c>
      <c r="D96" s="2282">
        <f>IF('Part III-Sources of Funds'!$I$37="","",-FV('Part III-Sources of Funds'!$K$37/12,12,D83/12,C96))</f>
        <v>405302.44323185657</v>
      </c>
      <c r="E96" s="2282">
        <f>IF('Part III-Sources of Funds'!$I$37="","",-FV('Part III-Sources of Funds'!$K$37/12,12,E83/12,D96))</f>
        <v>350814.75231472298</v>
      </c>
      <c r="F96" s="2282">
        <f>IF('Part III-Sources of Funds'!$I$37="","",-FV('Part III-Sources of Funds'!$K$37/12,12,F83/12,E96))</f>
        <v>295227.26246385422</v>
      </c>
      <c r="G96" s="2282">
        <f>IF('Part III-Sources of Funds'!$I$37="","",-FV('Part III-Sources of Funds'!$K$37/12,12,G83/12,F96))</f>
        <v>238517.77494639371</v>
      </c>
      <c r="H96" s="2282">
        <f>IF('Part III-Sources of Funds'!$I$37="","",-FV('Part III-Sources of Funds'!$K$37/12,12,H83/12,G96))</f>
        <v>180663.64296236506</v>
      </c>
      <c r="I96" s="2282">
        <f>IF('Part III-Sources of Funds'!$I$37="","",-FV('Part III-Sources of Funds'!$K$37/12,12,I83/12,H96))</f>
        <v>121641.76260072622</v>
      </c>
      <c r="J96" s="2282">
        <f>IF('Part III-Sources of Funds'!$I$37="","",-FV('Part III-Sources of Funds'!$K$37/12,12,J83/12,I96))</f>
        <v>61428.563612876977</v>
      </c>
      <c r="K96" s="2282">
        <f>IF('Part III-Sources of Funds'!$I$37="","",-FV('Part III-Sources of Funds'!$K$37/12,12,K83/12,J96))</f>
        <v>-6.4064806792885065E-8</v>
      </c>
      <c r="N96" s="3027"/>
      <c r="O96" s="3028"/>
    </row>
    <row r="97" spans="1:15" ht="13.15" customHeight="1">
      <c r="A97" s="435" t="s">
        <v>2635</v>
      </c>
      <c r="B97" s="2278" t="str">
        <f>IF('Part III-Sources of Funds'!$I$38="","",-FV('Part III-Sources of Funds'!$K$38/12,12,B84/12,K68))</f>
        <v/>
      </c>
      <c r="C97" s="2278" t="str">
        <f>IF('Part III-Sources of Funds'!$I$38="","",-FV('Part III-Sources of Funds'!$K$38/12,12,C84/12,B97))</f>
        <v/>
      </c>
      <c r="D97" s="2278" t="str">
        <f>IF('Part III-Sources of Funds'!$I$38="","",-FV('Part III-Sources of Funds'!$K$38/12,12,D84/12,C97))</f>
        <v/>
      </c>
      <c r="E97" s="2278" t="str">
        <f>IF('Part III-Sources of Funds'!$I$38="","",-FV('Part III-Sources of Funds'!$K$38/12,12,E84/12,D97))</f>
        <v/>
      </c>
      <c r="F97" s="2278" t="str">
        <f>IF('Part III-Sources of Funds'!$I$38="","",-FV('Part III-Sources of Funds'!$K$38/12,12,F84/12,E97))</f>
        <v/>
      </c>
      <c r="G97" s="2278" t="str">
        <f>IF('Part III-Sources of Funds'!$I$38="","",-FV('Part III-Sources of Funds'!$K$38/12,12,G84/12,F97))</f>
        <v/>
      </c>
      <c r="H97" s="2278" t="str">
        <f>IF('Part III-Sources of Funds'!$I$38="","",-FV('Part III-Sources of Funds'!$K$38/12,12,H84/12,G97))</f>
        <v/>
      </c>
      <c r="I97" s="2278" t="str">
        <f>IF('Part III-Sources of Funds'!$I$38="","",-FV('Part III-Sources of Funds'!$K$38/12,12,I84/12,H97))</f>
        <v/>
      </c>
      <c r="J97" s="2278" t="str">
        <f>IF('Part III-Sources of Funds'!$I$38="","",-FV('Part III-Sources of Funds'!$K$38/12,12,J84/12,I97))</f>
        <v/>
      </c>
      <c r="K97" s="2278" t="str">
        <f>IF('Part III-Sources of Funds'!$I$38="","",-FV('Part III-Sources of Funds'!$K$38/12,12,K84/12,J97))</f>
        <v/>
      </c>
      <c r="N97" s="3027"/>
      <c r="O97" s="3028"/>
    </row>
    <row r="98" spans="1:15" ht="13.15" customHeight="1">
      <c r="A98" s="435" t="s">
        <v>2636</v>
      </c>
      <c r="B98" s="2278" t="str">
        <f>IF('Part III-Sources of Funds'!$I$39="","",-FV('Part III-Sources of Funds'!$K$39/12,12,B85/12,K69))</f>
        <v/>
      </c>
      <c r="C98" s="2278" t="str">
        <f>IF('Part III-Sources of Funds'!$I$39="","",-FV('Part III-Sources of Funds'!$K$39/12,12,C85/12,B98))</f>
        <v/>
      </c>
      <c r="D98" s="2278" t="str">
        <f>IF('Part III-Sources of Funds'!$I$39="","",-FV('Part III-Sources of Funds'!$K$39/12,12,D85/12,C98))</f>
        <v/>
      </c>
      <c r="E98" s="2278" t="str">
        <f>IF('Part III-Sources of Funds'!$I$39="","",-FV('Part III-Sources of Funds'!$K$39/12,12,E85/12,D98))</f>
        <v/>
      </c>
      <c r="F98" s="2278" t="str">
        <f>IF('Part III-Sources of Funds'!$I$39="","",-FV('Part III-Sources of Funds'!$K$39/12,12,F85/12,E98))</f>
        <v/>
      </c>
      <c r="G98" s="2278" t="str">
        <f>IF('Part III-Sources of Funds'!$I$39="","",-FV('Part III-Sources of Funds'!$K$39/12,12,G85/12,F98))</f>
        <v/>
      </c>
      <c r="H98" s="2278" t="str">
        <f>IF('Part III-Sources of Funds'!$I$39="","",-FV('Part III-Sources of Funds'!$K$39/12,12,H85/12,G98))</f>
        <v/>
      </c>
      <c r="I98" s="2278" t="str">
        <f>IF('Part III-Sources of Funds'!$I$39="","",-FV('Part III-Sources of Funds'!$K$39/12,12,I85/12,H98))</f>
        <v/>
      </c>
      <c r="J98" s="2278" t="str">
        <f>IF('Part III-Sources of Funds'!$I$39="","",-FV('Part III-Sources of Funds'!$K$39/12,12,J85/12,I98))</f>
        <v/>
      </c>
      <c r="K98" s="2278" t="str">
        <f>IF('Part III-Sources of Funds'!$I$39="","",-FV('Part III-Sources of Funds'!$K$39/12,12,K85/12,J98))</f>
        <v/>
      </c>
      <c r="N98" s="3027"/>
      <c r="O98" s="3028"/>
    </row>
    <row r="99" spans="1:15" ht="13.15" customHeight="1">
      <c r="A99" s="22" t="s">
        <v>792</v>
      </c>
      <c r="B99" s="2281" t="str">
        <f>IF('Part III-Sources of Funds'!$I$40="","",-FV('Part III-Sources of Funds'!$K$40/12,12,B86/12,K70))</f>
        <v/>
      </c>
      <c r="C99" s="2281" t="str">
        <f>IF('Part III-Sources of Funds'!$I$40="","",-FV('Part III-Sources of Funds'!$K$40/12,12,C86/12,B99))</f>
        <v/>
      </c>
      <c r="D99" s="2281" t="str">
        <f>IF('Part III-Sources of Funds'!$I$40="","",-FV('Part III-Sources of Funds'!$K$40/12,12,D86/12,C99))</f>
        <v/>
      </c>
      <c r="E99" s="2281" t="str">
        <f>IF('Part III-Sources of Funds'!$I$40="","",-FV('Part III-Sources of Funds'!$K$40/12,12,E86/12,D99))</f>
        <v/>
      </c>
      <c r="F99" s="2281" t="str">
        <f>IF('Part III-Sources of Funds'!$I$40="","",-FV('Part III-Sources of Funds'!$K$40/12,12,F86/12,E99))</f>
        <v/>
      </c>
      <c r="G99" s="2281" t="str">
        <f>IF('Part III-Sources of Funds'!$I$40="","",-FV('Part III-Sources of Funds'!$K$40/12,12,G86/12,F99))</f>
        <v/>
      </c>
      <c r="H99" s="2281" t="str">
        <f>IF('Part III-Sources of Funds'!$I$40="","",-FV('Part III-Sources of Funds'!$K$40/12,12,H86/12,G99))</f>
        <v/>
      </c>
      <c r="I99" s="2281" t="str">
        <f>IF('Part III-Sources of Funds'!$I$40="","",-FV('Part III-Sources of Funds'!$K$40/12,12,I86/12,H99))</f>
        <v/>
      </c>
      <c r="J99" s="2281" t="str">
        <f>IF('Part III-Sources of Funds'!$I$40="","",-FV('Part III-Sources of Funds'!$K$40/12,12,J86/12,I99))</f>
        <v/>
      </c>
      <c r="K99" s="2281" t="str">
        <f>IF('Part III-Sources of Funds'!$I$40="","",-FV('Part III-Sources of Funds'!$K$40/12,12,K86/12,J99))</f>
        <v/>
      </c>
      <c r="N99" s="3069"/>
      <c r="O99" s="3070"/>
    </row>
    <row r="100" spans="1:15" ht="4.1500000000000004" customHeight="1">
      <c r="B100" s="18"/>
      <c r="C100" s="18"/>
      <c r="D100" s="18"/>
      <c r="E100" s="18"/>
      <c r="F100" s="18"/>
      <c r="G100" s="18"/>
      <c r="H100" s="18"/>
      <c r="I100" s="18"/>
      <c r="J100" s="18"/>
      <c r="K100" s="18"/>
    </row>
    <row r="101" spans="1:15" ht="14.45" customHeight="1">
      <c r="A101" s="14" t="s">
        <v>2496</v>
      </c>
      <c r="B101" s="16">
        <f>K73+1</f>
        <v>31</v>
      </c>
      <c r="C101" s="16">
        <f>B101+1</f>
        <v>32</v>
      </c>
      <c r="D101" s="16">
        <f>C101+1</f>
        <v>33</v>
      </c>
      <c r="E101" s="16">
        <f>D101+1</f>
        <v>34</v>
      </c>
      <c r="F101" s="16">
        <f>E101+1</f>
        <v>35</v>
      </c>
      <c r="G101" s="18"/>
      <c r="H101" s="18"/>
      <c r="I101" s="18"/>
      <c r="J101" s="18"/>
      <c r="K101" s="18"/>
      <c r="N101" s="2710" t="s">
        <v>3729</v>
      </c>
      <c r="O101" s="2710"/>
    </row>
    <row r="102" spans="1:15" ht="13.15" customHeight="1">
      <c r="A102" s="19" t="s">
        <v>2420</v>
      </c>
      <c r="B102" s="20">
        <f>$B$14*(1+$B$5)^(B101-1)</f>
        <v>842022.30053994851</v>
      </c>
      <c r="C102" s="20">
        <f>$B$14*(1+$B$5)^(C101-1)</f>
        <v>858862.74655074731</v>
      </c>
      <c r="D102" s="20">
        <f>$B$14*(1+$B$5)^(D101-1)</f>
        <v>876040.00148176239</v>
      </c>
      <c r="E102" s="20">
        <f>$B$14*(1+$B$5)^(E101-1)</f>
        <v>893560.8015113977</v>
      </c>
      <c r="F102" s="670">
        <f>$B$14*(1+$B$5)^(F101-1)</f>
        <v>911432.01754162554</v>
      </c>
      <c r="G102" s="18"/>
      <c r="H102" s="18"/>
      <c r="I102" s="18"/>
      <c r="J102" s="18"/>
      <c r="K102" s="18"/>
      <c r="N102" s="3034"/>
      <c r="O102" s="3035"/>
    </row>
    <row r="103" spans="1:15" ht="13.15" customHeight="1">
      <c r="A103" s="22" t="s">
        <v>1026</v>
      </c>
      <c r="B103" s="23">
        <f>$B$15*(1+$B$5)^(B101-1)</f>
        <v>16840.446010798973</v>
      </c>
      <c r="C103" s="23">
        <f>$B$15*(1+$B$5)^(C101-1)</f>
        <v>17177.254931014948</v>
      </c>
      <c r="D103" s="23">
        <f>$B$15*(1+$B$5)^(D101-1)</f>
        <v>17520.800029635247</v>
      </c>
      <c r="E103" s="23">
        <f>$B$15*(1+$B$5)^(E101-1)</f>
        <v>17871.216030227955</v>
      </c>
      <c r="F103" s="24">
        <f>$B$15*(1+$B$5)^(F101-1)</f>
        <v>18228.640350832513</v>
      </c>
      <c r="G103" s="18"/>
      <c r="H103" s="18"/>
      <c r="I103" s="18"/>
      <c r="J103" s="18"/>
      <c r="K103" s="18"/>
      <c r="N103" s="3027"/>
      <c r="O103" s="3028"/>
    </row>
    <row r="104" spans="1:15" ht="13.15" customHeight="1">
      <c r="A104" s="22" t="s">
        <v>2421</v>
      </c>
      <c r="B104" s="23">
        <f>-(B102+B103)*$B$8</f>
        <v>-60120.392258552325</v>
      </c>
      <c r="C104" s="23">
        <f>-(C102+C103)*$B$8</f>
        <v>-61322.800103723363</v>
      </c>
      <c r="D104" s="23">
        <f>-(D102+D103)*$B$8</f>
        <v>-62549.256105797838</v>
      </c>
      <c r="E104" s="23">
        <f>-(E102+E103)*$B$8</f>
        <v>-63800.241227913801</v>
      </c>
      <c r="F104" s="24">
        <f>-(F102+F103)*$B$8</f>
        <v>-65076.246052472066</v>
      </c>
      <c r="G104" s="18"/>
      <c r="H104" s="18"/>
      <c r="I104" s="18"/>
      <c r="J104" s="18"/>
      <c r="K104" s="18"/>
      <c r="N104" s="3027"/>
      <c r="O104" s="3028"/>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027"/>
      <c r="O105" s="3028"/>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027"/>
      <c r="O106" s="3028"/>
    </row>
    <row r="107" spans="1:15" ht="13.15" customHeight="1">
      <c r="A107" s="22" t="s">
        <v>620</v>
      </c>
      <c r="B107" s="23">
        <f>$B$19*(1+$B$6)^(B101-1)</f>
        <v>-651435.98380529427</v>
      </c>
      <c r="C107" s="23">
        <f>$B$19*(1+$B$6)^(C101-1)</f>
        <v>-670979.06331945327</v>
      </c>
      <c r="D107" s="23">
        <f>$B$19*(1+$B$6)^(D101-1)</f>
        <v>-691108.43521903665</v>
      </c>
      <c r="E107" s="23">
        <f>$B$19*(1+$B$6)^(E101-1)</f>
        <v>-711841.68827560777</v>
      </c>
      <c r="F107" s="24">
        <f>$B$19*(1+$B$6)^(F101-1)</f>
        <v>-733196.93892387592</v>
      </c>
      <c r="G107" s="18"/>
      <c r="H107" s="18"/>
      <c r="I107" s="18"/>
      <c r="J107" s="18"/>
      <c r="K107" s="18"/>
      <c r="N107" s="3027"/>
      <c r="O107" s="3028"/>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-73837</v>
      </c>
      <c r="C108" s="23">
        <f>IF(AND('Part VII-Pro Forma'!$G$8="Yes",'Part VII-Pro Forma'!$G$9="Yes"),"Choose One!",IF('Part VII-Pro Forma'!$G$8="Yes",ROUND((-$K$8*(1+'Part VII-Pro Forma'!$B$6)^('Part VII-Pro Forma'!C101-1)),),IF('Part VII-Pro Forma'!$G$9="Yes",ROUND((-(SUM(C102:C105)*'Part VII-Pro Forma'!$K$9)),),"Choose mgt fee")))</f>
        <v>-76052</v>
      </c>
      <c r="D108" s="23">
        <f>IF(AND('Part VII-Pro Forma'!$G$8="Yes",'Part VII-Pro Forma'!$G$9="Yes"),"Choose One!",IF('Part VII-Pro Forma'!$G$8="Yes",ROUND((-$K$8*(1+'Part VII-Pro Forma'!$B$6)^('Part VII-Pro Forma'!D101-1)),),IF('Part VII-Pro Forma'!$G$9="Yes",ROUND((-(SUM(D102:D105)*'Part VII-Pro Forma'!$K$9)),),"Choose mgt fee")))</f>
        <v>-78334</v>
      </c>
      <c r="E108" s="23">
        <f>IF(AND('Part VII-Pro Forma'!$G$8="Yes",'Part VII-Pro Forma'!$G$9="Yes"),"Choose One!",IF('Part VII-Pro Forma'!$G$8="Yes",ROUND((-$K$8*(1+'Part VII-Pro Forma'!$B$6)^('Part VII-Pro Forma'!E101-1)),),IF('Part VII-Pro Forma'!$G$9="Yes",ROUND((-(SUM(E102:E105)*'Part VII-Pro Forma'!$K$9)),),"Choose mgt fee")))</f>
        <v>-80684</v>
      </c>
      <c r="F108" s="24">
        <f>IF(AND('Part VII-Pro Forma'!$G$8="Yes",'Part VII-Pro Forma'!$G$9="Yes"),"Choose One!",IF('Part VII-Pro Forma'!$G$8="Yes",ROUND((-$K$8*(1+'Part VII-Pro Forma'!$B$6)^('Part VII-Pro Forma'!F101-1)),),IF('Part VII-Pro Forma'!$G$9="Yes",ROUND((-(SUM(F102:F105)*'Part VII-Pro Forma'!$K$9)),),"Choose mgt fee")))</f>
        <v>-83105</v>
      </c>
      <c r="G108" s="18"/>
      <c r="H108" s="18"/>
      <c r="I108" s="18"/>
      <c r="J108" s="18"/>
      <c r="K108" s="18"/>
      <c r="N108" s="3027"/>
      <c r="O108" s="3028"/>
    </row>
    <row r="109" spans="1:15" ht="13.15" customHeight="1">
      <c r="A109" s="22" t="s">
        <v>1214</v>
      </c>
      <c r="B109" s="23">
        <f>$B$21*(1+$B$7)^(B101-1)</f>
        <v>-56773.669201126126</v>
      </c>
      <c r="C109" s="23">
        <f>$B$21*(1+$B$7)^(C101-1)</f>
        <v>-58476.879277159918</v>
      </c>
      <c r="D109" s="23">
        <f>$B$21*(1+$B$7)^(D101-1)</f>
        <v>-60231.185655474706</v>
      </c>
      <c r="E109" s="23">
        <f>$B$21*(1+$B$7)^(E101-1)</f>
        <v>-62038.121225138952</v>
      </c>
      <c r="F109" s="24">
        <f>$B$21*(1+$B$7)^(F101-1)</f>
        <v>-63899.264861893105</v>
      </c>
      <c r="G109" s="18"/>
      <c r="H109" s="18"/>
      <c r="I109" s="18"/>
      <c r="J109" s="18"/>
      <c r="K109" s="18"/>
      <c r="N109" s="3027"/>
      <c r="O109" s="3028"/>
    </row>
    <row r="110" spans="1:15" ht="13.15" customHeight="1">
      <c r="A110" s="22" t="s">
        <v>1215</v>
      </c>
      <c r="B110" s="23">
        <f>SUM(B102:B109)</f>
        <v>16695.701285774667</v>
      </c>
      <c r="C110" s="23">
        <f>SUM(C102:C109)</f>
        <v>9209.2587814256622</v>
      </c>
      <c r="D110" s="23">
        <f>SUM(D102:D109)</f>
        <v>1337.9245310883998</v>
      </c>
      <c r="E110" s="23">
        <f>SUM(E102:E109)</f>
        <v>-6932.0331870348309</v>
      </c>
      <c r="F110" s="24">
        <f>SUM(F102:F109)</f>
        <v>-15616.791945783036</v>
      </c>
      <c r="G110" s="18"/>
      <c r="H110" s="18"/>
      <c r="I110" s="18"/>
      <c r="J110" s="18"/>
      <c r="K110" s="18"/>
      <c r="N110" s="3027"/>
      <c r="O110" s="3028"/>
    </row>
    <row r="111" spans="1:15" ht="13.15" customHeight="1">
      <c r="A111" s="22" t="str">
        <f>$A83</f>
        <v>Mortgage A</v>
      </c>
      <c r="B111" s="2277">
        <f>IF('Part III-Sources of Funds'!$N$37="", 0,-'Part III-Sources of Funds'!$N$37)</f>
        <v>-62096.071411721852</v>
      </c>
      <c r="C111" s="2277">
        <f>IF('Part III-Sources of Funds'!$N$37="", 0,-'Part III-Sources of Funds'!$N$37)</f>
        <v>-62096.071411721852</v>
      </c>
      <c r="D111" s="2277">
        <f>IF('Part III-Sources of Funds'!$N$37="", 0,-'Part III-Sources of Funds'!$N$37)</f>
        <v>-62096.071411721852</v>
      </c>
      <c r="E111" s="2277">
        <f>IF('Part III-Sources of Funds'!$N$37="", 0,-'Part III-Sources of Funds'!$N$37)</f>
        <v>-62096.071411721852</v>
      </c>
      <c r="F111" s="2277">
        <f>IF('Part III-Sources of Funds'!$N$37="", 0,-'Part III-Sources of Funds'!$N$37)</f>
        <v>-62096.071411721852</v>
      </c>
      <c r="G111" s="18"/>
      <c r="H111" s="18"/>
      <c r="I111" s="18"/>
      <c r="J111" s="18"/>
      <c r="K111" s="18"/>
      <c r="N111" s="3027"/>
      <c r="O111" s="3028"/>
    </row>
    <row r="112" spans="1:15" ht="13.15" customHeight="1">
      <c r="A112" s="22" t="str">
        <f>$A84</f>
        <v>Mortgage B</v>
      </c>
      <c r="B112" s="2278">
        <f>IF('Part III-Sources of Funds'!$N$38="", 0,-'Part III-Sources of Funds'!$N$38)</f>
        <v>0</v>
      </c>
      <c r="C112" s="2278">
        <f>IF('Part III-Sources of Funds'!$N$38="", 0,-'Part III-Sources of Funds'!$N$38)</f>
        <v>0</v>
      </c>
      <c r="D112" s="2278">
        <f>IF('Part III-Sources of Funds'!$N$38="", 0,-'Part III-Sources of Funds'!$N$38)</f>
        <v>0</v>
      </c>
      <c r="E112" s="2278">
        <f>IF('Part III-Sources of Funds'!$N$38="", 0,-'Part III-Sources of Funds'!$N$38)</f>
        <v>0</v>
      </c>
      <c r="F112" s="2278">
        <f>IF('Part III-Sources of Funds'!$N$38="", 0,-'Part III-Sources of Funds'!$N$38)</f>
        <v>0</v>
      </c>
      <c r="G112" s="18"/>
      <c r="H112" s="18"/>
      <c r="I112" s="18"/>
      <c r="J112" s="18"/>
      <c r="K112" s="18"/>
      <c r="N112" s="3027"/>
      <c r="O112" s="3028"/>
    </row>
    <row r="113" spans="1:15" ht="13.15" customHeight="1">
      <c r="A113" s="22" t="str">
        <f>$A85</f>
        <v>Mortgage C</v>
      </c>
      <c r="B113" s="2278">
        <f>IF('Part III-Sources of Funds'!$N$39="", 0,-'Part III-Sources of Funds'!$N$39)</f>
        <v>0</v>
      </c>
      <c r="C113" s="2278">
        <f>IF('Part III-Sources of Funds'!$N$39="", 0,-'Part III-Sources of Funds'!$N$39)</f>
        <v>0</v>
      </c>
      <c r="D113" s="2278">
        <f>IF('Part III-Sources of Funds'!$N$39="", 0,-'Part III-Sources of Funds'!$N$39)</f>
        <v>0</v>
      </c>
      <c r="E113" s="2278">
        <f>IF('Part III-Sources of Funds'!$N$39="", 0,-'Part III-Sources of Funds'!$N$39)</f>
        <v>0</v>
      </c>
      <c r="F113" s="2278">
        <f>IF('Part III-Sources of Funds'!$N$39="", 0,-'Part III-Sources of Funds'!$N$39)</f>
        <v>0</v>
      </c>
      <c r="G113" s="18"/>
      <c r="H113" s="18"/>
      <c r="I113" s="18"/>
      <c r="J113" s="18"/>
      <c r="K113" s="18"/>
      <c r="N113" s="3027"/>
      <c r="O113" s="3028"/>
    </row>
    <row r="114" spans="1:15" ht="13.15" customHeight="1">
      <c r="A114" s="22" t="str">
        <f>$A86</f>
        <v>D/S Other Source,not DDF</v>
      </c>
      <c r="B114" s="2278">
        <f>IF('Part III-Sources of Funds'!$N$40="", 0,-'Part III-Sources of Funds'!$N$40)</f>
        <v>0</v>
      </c>
      <c r="C114" s="2278">
        <f>IF('Part III-Sources of Funds'!$N$40="", 0,-'Part III-Sources of Funds'!$N$40)</f>
        <v>0</v>
      </c>
      <c r="D114" s="2278">
        <f>IF('Part III-Sources of Funds'!$N$40="", 0,-'Part III-Sources of Funds'!$N$40)</f>
        <v>0</v>
      </c>
      <c r="E114" s="2278">
        <f>IF('Part III-Sources of Funds'!$N$40="", 0,-'Part III-Sources of Funds'!$N$40)</f>
        <v>0</v>
      </c>
      <c r="F114" s="2278">
        <f>IF('Part III-Sources of Funds'!$N$40="", 0,-'Part III-Sources of Funds'!$N$40)</f>
        <v>0</v>
      </c>
      <c r="G114" s="18"/>
      <c r="H114" s="18"/>
      <c r="I114" s="18"/>
      <c r="J114" s="18"/>
      <c r="K114" s="18"/>
      <c r="N114" s="3027"/>
      <c r="O114" s="3028"/>
    </row>
    <row r="115" spans="1:15" ht="13.15" customHeight="1">
      <c r="A115" s="22" t="s">
        <v>771</v>
      </c>
      <c r="B115" s="2279"/>
      <c r="C115" s="2279"/>
      <c r="D115" s="2279"/>
      <c r="E115" s="2279"/>
      <c r="F115" s="2279"/>
      <c r="G115" s="18"/>
      <c r="H115" s="18"/>
      <c r="I115" s="18"/>
      <c r="J115" s="18"/>
      <c r="K115" s="18"/>
      <c r="N115" s="3027"/>
      <c r="O115" s="3028"/>
    </row>
    <row r="116" spans="1:15" ht="13.15" customHeight="1">
      <c r="A116" s="22" t="s">
        <v>1174</v>
      </c>
      <c r="B116" s="2281">
        <f>+K88</f>
        <v>-12500</v>
      </c>
      <c r="C116" s="2281">
        <f>+B116</f>
        <v>-12500</v>
      </c>
      <c r="D116" s="2281">
        <f>+C116</f>
        <v>-12500</v>
      </c>
      <c r="E116" s="2281">
        <f>+D116</f>
        <v>-12500</v>
      </c>
      <c r="F116" s="2281">
        <f>+E116</f>
        <v>-12500</v>
      </c>
      <c r="G116" s="18"/>
      <c r="H116" s="18"/>
      <c r="I116" s="18"/>
      <c r="J116" s="18"/>
      <c r="K116" s="18"/>
      <c r="N116" s="3027"/>
      <c r="O116" s="3028"/>
    </row>
    <row r="117" spans="1:15" ht="13.15" customHeight="1">
      <c r="A117" s="22" t="s">
        <v>1175</v>
      </c>
      <c r="B117" s="23">
        <f>SUM(B110:B116)</f>
        <v>-57900.370125947185</v>
      </c>
      <c r="C117" s="23">
        <f>SUM(C110:C116)</f>
        <v>-65386.81263029619</v>
      </c>
      <c r="D117" s="23">
        <f>SUM(D110:D116)</f>
        <v>-73258.14688063346</v>
      </c>
      <c r="E117" s="23">
        <f>SUM(E110:E116)</f>
        <v>-81528.104598756676</v>
      </c>
      <c r="F117" s="24">
        <f>SUM(F110:F116)</f>
        <v>-90212.863357504888</v>
      </c>
      <c r="G117" s="18"/>
      <c r="H117" s="18"/>
      <c r="I117" s="18"/>
      <c r="J117" s="18"/>
      <c r="K117" s="18"/>
      <c r="N117" s="3027"/>
      <c r="O117" s="3028"/>
    </row>
    <row r="118" spans="1:15" ht="13.15" customHeight="1">
      <c r="A118" s="22" t="str">
        <f>$A90</f>
        <v>DCR Mortgage A</v>
      </c>
      <c r="B118" s="25">
        <f>IF(B111=0,"",-B110/B111)</f>
        <v>0.26886888181823088</v>
      </c>
      <c r="C118" s="25">
        <f>IF(C111=0,"",-C110/C111)</f>
        <v>0.14830662507398551</v>
      </c>
      <c r="D118" s="25">
        <f>IF(D111=0,"",-D110/D111)</f>
        <v>2.15460414913759E-2</v>
      </c>
      <c r="E118" s="25">
        <f>IF(E111=0,"",-E110/E111)</f>
        <v>-0.11163400565347639</v>
      </c>
      <c r="F118" s="26">
        <f>IF(F111=0,"",-F110/F111)</f>
        <v>-0.25149404126128116</v>
      </c>
      <c r="G118" s="18"/>
      <c r="H118" s="18"/>
      <c r="I118" s="18"/>
      <c r="J118" s="18"/>
      <c r="K118" s="18"/>
      <c r="N118" s="3027"/>
      <c r="O118" s="3028"/>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027"/>
      <c r="O119" s="3028"/>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027"/>
      <c r="O120" s="3028"/>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027"/>
      <c r="O121" s="3028"/>
    </row>
    <row r="122" spans="1:15" ht="13.15" customHeight="1">
      <c r="A122" s="435" t="s">
        <v>3739</v>
      </c>
      <c r="B122" s="25">
        <f>IF(AND(B111=0,B112=0,B113=0,B114=0),"",-B110/(B111+B112+B113+B114))</f>
        <v>0.26886888181823088</v>
      </c>
      <c r="C122" s="25">
        <f>IF(AND(C111=0,C112=0,C113=0,C114=0),"",-C110/(C111+C112+C113+C114))</f>
        <v>0.14830662507398551</v>
      </c>
      <c r="D122" s="25">
        <f>IF(AND(D111=0,D112=0,D113=0,D114=0),"",-D110/(D111+D112+D113+D114))</f>
        <v>2.15460414913759E-2</v>
      </c>
      <c r="E122" s="25">
        <f>IF(AND(E111=0,E112=0,E113=0,E114=0),"",-E110/(E111+E112+E113+E114))</f>
        <v>-0.11163400565347639</v>
      </c>
      <c r="F122" s="26">
        <f>IF(AND(F111=0,F112=0,F113=0,F114=0),"",-F110/(F111+F112+F113+F114))</f>
        <v>-0.25149404126128116</v>
      </c>
      <c r="G122" s="18"/>
      <c r="H122" s="18"/>
      <c r="I122" s="18"/>
      <c r="J122" s="18"/>
      <c r="K122" s="18"/>
      <c r="N122" s="3027"/>
      <c r="O122" s="3028"/>
    </row>
    <row r="123" spans="1:15" ht="13.15" customHeight="1">
      <c r="A123" s="22" t="s">
        <v>778</v>
      </c>
      <c r="B123" s="274">
        <f>IF(OR(B108="Choose mgt fee",B108="Choose One!"),"",(B102+B103+B104+B105+B106) / -(B107+B108+B109))</f>
        <v>1.0213487280095011</v>
      </c>
      <c r="C123" s="274">
        <f>IF(OR(C108="Choose mgt fee",C108="Choose One!"),"",(C102+C103+C104+C105+C106) / -(C107+C108+C109))</f>
        <v>1.0114328590624928</v>
      </c>
      <c r="D123" s="274">
        <f>IF(OR(D108="Choose mgt fee",D108="Choose One!"),"",(D102+D103+D104+D105+D106) / -(D107+D108+D109))</f>
        <v>1.0016125913822331</v>
      </c>
      <c r="E123" s="274">
        <f>IF(OR(E108="Choose mgt fee",E108="Choose One!"),"",(E102+E103+E104+E105+E106) / -(E107+E108+E109))</f>
        <v>0.99188822050504966</v>
      </c>
      <c r="F123" s="671">
        <f>IF(OR(F108="Choose mgt fee",F108="Choose One!"),"",(F102+F103+F104+F105+F106) / -(F107+F108+F109))</f>
        <v>0.9822577021269514</v>
      </c>
      <c r="G123" s="18"/>
      <c r="H123" s="18"/>
      <c r="I123" s="18"/>
      <c r="J123" s="18"/>
      <c r="K123" s="18"/>
      <c r="N123" s="3027"/>
      <c r="O123" s="3028"/>
    </row>
    <row r="124" spans="1:15" ht="13.15" customHeight="1">
      <c r="A124" s="435" t="s">
        <v>2634</v>
      </c>
      <c r="B124" s="2282">
        <f>IF('Part III-Sources of Funds'!$I$37="","",-FV('Part III-Sources of Funds'!$K$37/12,12,B111/12,K96))</f>
        <v>-62668.459589972481</v>
      </c>
      <c r="C124" s="2282">
        <f>IF('Part III-Sources of Funds'!$I$37="","",-FV('Part III-Sources of Funds'!$K$37/12,12,C111/12,B124))</f>
        <v>-126601.84165825543</v>
      </c>
      <c r="D124" s="2282">
        <f>IF('Part III-Sources of Funds'!$I$37="","",-FV('Part III-Sources of Funds'!$K$37/12,12,D111/12,C124))</f>
        <v>-191825.67785012597</v>
      </c>
      <c r="E124" s="2282">
        <f>IF('Part III-Sources of Funds'!$I$37="","",-FV('Part III-Sources of Funds'!$K$37/12,12,E111/12,D124))</f>
        <v>-258366.01515060524</v>
      </c>
      <c r="F124" s="2282">
        <f>IF('Part III-Sources of Funds'!$I$37="","",-FV('Part III-Sources of Funds'!$K$37/12,12,F111/12,E124))</f>
        <v>-326249.42628632451</v>
      </c>
      <c r="G124" s="18"/>
      <c r="H124" s="18"/>
      <c r="I124" s="18"/>
      <c r="J124" s="18"/>
      <c r="K124" s="18"/>
      <c r="N124" s="3027"/>
      <c r="O124" s="3028"/>
    </row>
    <row r="125" spans="1:15" ht="13.15" customHeight="1">
      <c r="A125" s="435" t="s">
        <v>2635</v>
      </c>
      <c r="B125" s="2278" t="str">
        <f>IF('Part III-Sources of Funds'!$I$38="","",-FV('Part III-Sources of Funds'!$K$38/12,12,B112/12,K97))</f>
        <v/>
      </c>
      <c r="C125" s="2278" t="str">
        <f>IF('Part III-Sources of Funds'!$I$38="","",-FV('Part III-Sources of Funds'!$K$38/12,12,C112/12,B125))</f>
        <v/>
      </c>
      <c r="D125" s="2278" t="str">
        <f>IF('Part III-Sources of Funds'!$I$38="","",-FV('Part III-Sources of Funds'!$K$38/12,12,D112/12,C125))</f>
        <v/>
      </c>
      <c r="E125" s="2278" t="str">
        <f>IF('Part III-Sources of Funds'!$I$38="","",-FV('Part III-Sources of Funds'!$K$38/12,12,E112/12,D125))</f>
        <v/>
      </c>
      <c r="F125" s="2278" t="str">
        <f>IF('Part III-Sources of Funds'!$I$38="","",-FV('Part III-Sources of Funds'!$K$38/12,12,F112/12,E125))</f>
        <v/>
      </c>
      <c r="G125" s="18"/>
      <c r="H125" s="18"/>
      <c r="I125" s="18"/>
      <c r="J125" s="18"/>
      <c r="K125" s="18"/>
      <c r="N125" s="3027"/>
      <c r="O125" s="3028"/>
    </row>
    <row r="126" spans="1:15" ht="13.15" customHeight="1">
      <c r="A126" s="435" t="s">
        <v>2636</v>
      </c>
      <c r="B126" s="2278" t="str">
        <f>IF('Part III-Sources of Funds'!$I$39="","",-FV('Part III-Sources of Funds'!$K$39/12,12,B113/12,K98))</f>
        <v/>
      </c>
      <c r="C126" s="2278" t="str">
        <f>IF('Part III-Sources of Funds'!$I$39="","",-FV('Part III-Sources of Funds'!$K$39/12,12,C113/12,B126))</f>
        <v/>
      </c>
      <c r="D126" s="2278" t="str">
        <f>IF('Part III-Sources of Funds'!$I$39="","",-FV('Part III-Sources of Funds'!$K$39/12,12,D113/12,C126))</f>
        <v/>
      </c>
      <c r="E126" s="2278" t="str">
        <f>IF('Part III-Sources of Funds'!$I$39="","",-FV('Part III-Sources of Funds'!$K$39/12,12,E113/12,D126))</f>
        <v/>
      </c>
      <c r="F126" s="2278" t="str">
        <f>IF('Part III-Sources of Funds'!$I$39="","",-FV('Part III-Sources of Funds'!$K$39/12,12,F113/12,E126))</f>
        <v/>
      </c>
      <c r="G126" s="18"/>
      <c r="H126" s="18"/>
      <c r="I126" s="18"/>
      <c r="J126" s="18"/>
      <c r="K126" s="18"/>
      <c r="N126" s="3027"/>
      <c r="O126" s="3028"/>
    </row>
    <row r="127" spans="1:15" ht="13.15" customHeight="1">
      <c r="A127" s="27" t="s">
        <v>792</v>
      </c>
      <c r="B127" s="2281" t="str">
        <f>IF('Part III-Sources of Funds'!$I$40="","",-FV('Part III-Sources of Funds'!$K$40/12,12,B114/12,K99))</f>
        <v/>
      </c>
      <c r="C127" s="2281" t="str">
        <f>IF('Part III-Sources of Funds'!$I$40="","",-FV('Part III-Sources of Funds'!$K$40/12,12,C114/12,B127))</f>
        <v/>
      </c>
      <c r="D127" s="2281" t="str">
        <f>IF('Part III-Sources of Funds'!$I$40="","",-FV('Part III-Sources of Funds'!$K$40/12,12,D114/12,C127))</f>
        <v/>
      </c>
      <c r="E127" s="2281" t="str">
        <f>IF('Part III-Sources of Funds'!$I$40="","",-FV('Part III-Sources of Funds'!$K$40/12,12,E114/12,D127))</f>
        <v/>
      </c>
      <c r="F127" s="2281" t="str">
        <f>IF('Part III-Sources of Funds'!$I$40="","",-FV('Part III-Sources of Funds'!$K$40/12,12,F114/12,E127))</f>
        <v/>
      </c>
      <c r="G127" s="18"/>
      <c r="H127" s="18"/>
      <c r="I127" s="18"/>
      <c r="J127" s="18"/>
      <c r="K127" s="18"/>
      <c r="N127" s="3069"/>
      <c r="O127" s="3070"/>
    </row>
    <row r="128" spans="1:15" ht="4.1500000000000004" customHeight="1"/>
    <row r="129" spans="1:18" ht="12" customHeight="1">
      <c r="A129" s="14" t="s">
        <v>576</v>
      </c>
      <c r="B129" s="14"/>
      <c r="G129" s="14" t="s">
        <v>1041</v>
      </c>
    </row>
    <row r="130" spans="1:18" ht="12" customHeight="1">
      <c r="B130" s="32"/>
    </row>
    <row r="131" spans="1:18" ht="409.5" customHeight="1">
      <c r="A131" s="2696" t="s">
        <v>4723</v>
      </c>
      <c r="B131" s="3086"/>
      <c r="C131" s="3086"/>
      <c r="D131" s="3086"/>
      <c r="E131" s="3086"/>
      <c r="F131" s="3087"/>
      <c r="G131" s="3088"/>
      <c r="H131" s="3089"/>
      <c r="I131" s="3089"/>
      <c r="J131" s="3089"/>
      <c r="K131" s="3090"/>
      <c r="N131" s="2814" t="s">
        <v>2710</v>
      </c>
      <c r="O131" s="2814"/>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6jEl1w19NjgvnKeR2G2vMY2QDy1XPDu5l6uBZHnXRGDGki+9s4O8OcZFQ9aw5XjcA4LwVWHgapsrVFKCKiRBOQ==" saltValue="a+vKHAq2w61FJbLvOJHC0A==" spinCount="100000" sheet="1" objects="1" scenarios="1"/>
  <mergeCells count="127">
    <mergeCell ref="N110:O110"/>
    <mergeCell ref="N111:O111"/>
    <mergeCell ref="N112:O112"/>
    <mergeCell ref="N113:O113"/>
    <mergeCell ref="N114:O114"/>
    <mergeCell ref="N105:O105"/>
    <mergeCell ref="N106:O106"/>
    <mergeCell ref="N107:O107"/>
    <mergeCell ref="N108:O108"/>
    <mergeCell ref="N109:O109"/>
    <mergeCell ref="N125:O125"/>
    <mergeCell ref="N120:O120"/>
    <mergeCell ref="N121:O121"/>
    <mergeCell ref="N122:O122"/>
    <mergeCell ref="N123:O123"/>
    <mergeCell ref="N124:O124"/>
    <mergeCell ref="N115:O115"/>
    <mergeCell ref="N116:O116"/>
    <mergeCell ref="N117:O117"/>
    <mergeCell ref="N118:O118"/>
    <mergeCell ref="N119:O119"/>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84:O84"/>
    <mergeCell ref="N85:O85"/>
    <mergeCell ref="N86:O86"/>
    <mergeCell ref="N87:O87"/>
    <mergeCell ref="N88:O88"/>
    <mergeCell ref="N79:O79"/>
    <mergeCell ref="N80:O80"/>
    <mergeCell ref="N81:O81"/>
    <mergeCell ref="N82:O82"/>
    <mergeCell ref="N83:O83"/>
    <mergeCell ref="N76:O76"/>
    <mergeCell ref="N77:O77"/>
    <mergeCell ref="N78:O78"/>
    <mergeCell ref="N62:O62"/>
    <mergeCell ref="N63:O63"/>
    <mergeCell ref="N64:O64"/>
    <mergeCell ref="N65:O65"/>
    <mergeCell ref="N66:O66"/>
    <mergeCell ref="N69:O69"/>
    <mergeCell ref="N70:O70"/>
    <mergeCell ref="N67:O67"/>
    <mergeCell ref="N68:O68"/>
    <mergeCell ref="N71:O71"/>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21:O21"/>
    <mergeCell ref="N22:O22"/>
    <mergeCell ref="N23:O23"/>
    <mergeCell ref="N24:O24"/>
    <mergeCell ref="N25:O25"/>
    <mergeCell ref="N26:O26"/>
    <mergeCell ref="N27:O27"/>
    <mergeCell ref="N28:O28"/>
    <mergeCell ref="N30:O30"/>
    <mergeCell ref="N29:O29"/>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S14:S17"/>
    <mergeCell ref="R16:R17"/>
    <mergeCell ref="N13:O13"/>
    <mergeCell ref="A1:K1"/>
    <mergeCell ref="N1:O1"/>
    <mergeCell ref="N2:O2"/>
    <mergeCell ref="D5:F6"/>
    <mergeCell ref="N5:O5"/>
    <mergeCell ref="N6:O6"/>
    <mergeCell ref="N7:O7"/>
    <mergeCell ref="N8:O8"/>
    <mergeCell ref="N9:O9"/>
    <mergeCell ref="Q16:Q17"/>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view="pageBreakPreview" topLeftCell="A349" zoomScaleNormal="100" zoomScaleSheetLayoutView="100" workbookViewId="0">
      <selection sqref="A1:XFD1048576"/>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3.9" customHeight="1">
      <c r="A1" s="2832" t="str">
        <f>CONCATENATE("PART EIGHT - THRESHOLD CRITERIA","  -  ",'Part I-Project Information'!$O$6," ",'Part I-Project Information'!$F$34,", ",'Part I-Project Information'!F38,", ",'Part I-Project Information'!J39," County")</f>
        <v>PART EIGHT - THRESHOLD CRITERIA  -  2018-013 Tindall Fields III, Macon, Bibb County</v>
      </c>
      <c r="B1" s="2833"/>
      <c r="C1" s="2833"/>
      <c r="D1" s="2833"/>
      <c r="E1" s="2833"/>
      <c r="F1" s="2833"/>
      <c r="G1" s="2833"/>
      <c r="H1" s="2833"/>
      <c r="I1" s="2833"/>
      <c r="J1" s="2833"/>
      <c r="K1" s="2833"/>
      <c r="L1" s="2833"/>
      <c r="M1" s="2833"/>
      <c r="N1" s="2833"/>
      <c r="O1" s="2833"/>
      <c r="P1" s="2833"/>
      <c r="Q1" s="2833"/>
    </row>
    <row r="2" spans="1:32" s="28" customFormat="1" ht="3" customHeight="1">
      <c r="S2" s="36"/>
      <c r="T2" s="36"/>
      <c r="AE2" s="120"/>
      <c r="AF2" s="120"/>
    </row>
    <row r="3" spans="1:32" ht="13.5" customHeight="1">
      <c r="A3" s="3130"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130"/>
      <c r="C3" s="3130"/>
      <c r="D3" s="3130"/>
      <c r="E3" s="3130"/>
      <c r="F3" s="3130"/>
      <c r="G3" s="3130"/>
      <c r="H3" s="3130"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130"/>
      <c r="J3" s="3130"/>
      <c r="K3" s="3130"/>
      <c r="L3" s="3130"/>
      <c r="M3" s="3130"/>
      <c r="N3" s="3131"/>
      <c r="O3" s="3132" t="s">
        <v>944</v>
      </c>
      <c r="P3" s="3133"/>
      <c r="Q3" s="565" t="s">
        <v>1857</v>
      </c>
    </row>
    <row r="4" spans="1:32" ht="3" customHeight="1">
      <c r="A4" s="1585"/>
      <c r="B4" s="3134"/>
      <c r="C4" s="3134"/>
      <c r="D4" s="3134"/>
      <c r="E4" s="1585"/>
      <c r="F4" s="1585"/>
      <c r="G4" s="1585"/>
      <c r="H4" s="1585"/>
      <c r="I4" s="1585"/>
      <c r="J4" s="1585"/>
      <c r="K4" s="1585"/>
      <c r="L4" s="1585"/>
      <c r="M4" s="1585"/>
      <c r="N4" s="1585"/>
      <c r="P4" s="1585"/>
      <c r="Q4" s="1585"/>
    </row>
    <row r="5" spans="1:32" ht="10.9" hidden="1" customHeight="1">
      <c r="A5" s="1585"/>
      <c r="B5" s="1585"/>
      <c r="C5" s="1585"/>
      <c r="D5" s="1585"/>
      <c r="E5" s="1585"/>
      <c r="F5" s="1585"/>
      <c r="G5" s="1585"/>
      <c r="H5" s="1585"/>
      <c r="I5" s="1585"/>
      <c r="J5" s="1585"/>
      <c r="K5" s="1585"/>
      <c r="L5" s="1585"/>
      <c r="M5" s="1585"/>
      <c r="N5" s="1585"/>
      <c r="P5" s="1585"/>
      <c r="Q5" s="1585"/>
    </row>
    <row r="6" spans="1:32" ht="17.25" customHeight="1">
      <c r="A6" s="130" t="s">
        <v>572</v>
      </c>
      <c r="J6" s="3137" t="s">
        <v>3874</v>
      </c>
      <c r="K6" s="3137"/>
      <c r="L6" s="3137"/>
      <c r="M6" s="3137"/>
      <c r="N6" s="3137"/>
      <c r="O6" s="3138"/>
      <c r="P6" s="3135"/>
      <c r="Q6" s="3136"/>
    </row>
    <row r="7" spans="1:32" ht="12.6" customHeight="1">
      <c r="A7" s="131" t="s">
        <v>3472</v>
      </c>
      <c r="C7" s="132"/>
      <c r="D7" s="132"/>
      <c r="H7" s="1435"/>
      <c r="I7" s="1435"/>
      <c r="J7" s="1435"/>
      <c r="K7" s="1435"/>
      <c r="L7" s="1435"/>
      <c r="M7" s="1585"/>
      <c r="N7" s="1585"/>
    </row>
    <row r="8" spans="1:32" ht="24.6" customHeight="1">
      <c r="A8" s="3103" t="s">
        <v>1420</v>
      </c>
      <c r="B8" s="3104"/>
      <c r="C8" s="3104"/>
      <c r="D8" s="3104"/>
      <c r="E8" s="3104"/>
      <c r="F8" s="3104"/>
      <c r="G8" s="3104"/>
      <c r="H8" s="3104"/>
      <c r="I8" s="3104"/>
      <c r="J8" s="3104"/>
      <c r="K8" s="3104"/>
      <c r="L8" s="3104"/>
      <c r="M8" s="3104"/>
      <c r="N8" s="3104"/>
      <c r="O8" s="3104"/>
      <c r="P8" s="3104"/>
      <c r="Q8" s="3105"/>
      <c r="R8" s="3076" t="s">
        <v>2047</v>
      </c>
      <c r="S8" s="2433"/>
    </row>
    <row r="9" spans="1:32" ht="24.6" customHeight="1">
      <c r="A9" s="3106" t="s">
        <v>228</v>
      </c>
      <c r="B9" s="3107"/>
      <c r="C9" s="3107"/>
      <c r="D9" s="3107"/>
      <c r="E9" s="3107"/>
      <c r="F9" s="3107"/>
      <c r="G9" s="3107"/>
      <c r="H9" s="3107"/>
      <c r="I9" s="3107"/>
      <c r="J9" s="3107"/>
      <c r="K9" s="3107"/>
      <c r="L9" s="3107"/>
      <c r="M9" s="3107"/>
      <c r="N9" s="3107"/>
      <c r="O9" s="3107"/>
      <c r="P9" s="3107"/>
      <c r="Q9" s="3108"/>
      <c r="R9" s="3076"/>
      <c r="S9" s="2433"/>
    </row>
    <row r="10" spans="1:32" ht="24.6" customHeight="1">
      <c r="A10" s="3106" t="s">
        <v>1416</v>
      </c>
      <c r="B10" s="3107"/>
      <c r="C10" s="3107"/>
      <c r="D10" s="3107"/>
      <c r="E10" s="3107"/>
      <c r="F10" s="3107"/>
      <c r="G10" s="3107"/>
      <c r="H10" s="3107"/>
      <c r="I10" s="3107"/>
      <c r="J10" s="3107"/>
      <c r="K10" s="3107"/>
      <c r="L10" s="3107"/>
      <c r="M10" s="3107"/>
      <c r="N10" s="3107"/>
      <c r="O10" s="3107"/>
      <c r="P10" s="3107"/>
      <c r="Q10" s="3108"/>
      <c r="R10" s="3076"/>
      <c r="S10" s="2433"/>
    </row>
    <row r="11" spans="1:32" ht="24.6" customHeight="1">
      <c r="A11" s="3106" t="s">
        <v>1417</v>
      </c>
      <c r="B11" s="3107"/>
      <c r="C11" s="3107"/>
      <c r="D11" s="3107"/>
      <c r="E11" s="3107"/>
      <c r="F11" s="3107"/>
      <c r="G11" s="3107"/>
      <c r="H11" s="3107"/>
      <c r="I11" s="3107"/>
      <c r="J11" s="3107"/>
      <c r="K11" s="3107"/>
      <c r="L11" s="3107"/>
      <c r="M11" s="3107"/>
      <c r="N11" s="3107"/>
      <c r="O11" s="3107"/>
      <c r="P11" s="3107"/>
      <c r="Q11" s="3108"/>
      <c r="R11" s="3076"/>
      <c r="S11" s="2433"/>
    </row>
    <row r="12" spans="1:32" ht="24" customHeight="1">
      <c r="A12" s="3106" t="s">
        <v>1418</v>
      </c>
      <c r="B12" s="3107"/>
      <c r="C12" s="3107"/>
      <c r="D12" s="3107"/>
      <c r="E12" s="3107"/>
      <c r="F12" s="3107"/>
      <c r="G12" s="3107"/>
      <c r="H12" s="3107"/>
      <c r="I12" s="3107"/>
      <c r="J12" s="3107"/>
      <c r="K12" s="3107"/>
      <c r="L12" s="3107"/>
      <c r="M12" s="3107"/>
      <c r="N12" s="3107"/>
      <c r="O12" s="3107"/>
      <c r="P12" s="3107"/>
      <c r="Q12" s="3108"/>
      <c r="R12" s="1556"/>
      <c r="S12" s="1556"/>
    </row>
    <row r="13" spans="1:32" ht="11.25" customHeight="1">
      <c r="A13" s="3106" t="s">
        <v>1419</v>
      </c>
      <c r="B13" s="3107"/>
      <c r="C13" s="3107"/>
      <c r="D13" s="3107"/>
      <c r="E13" s="3107"/>
      <c r="F13" s="3107"/>
      <c r="G13" s="3107"/>
      <c r="H13" s="3107"/>
      <c r="I13" s="3107"/>
      <c r="J13" s="3107"/>
      <c r="K13" s="3107"/>
      <c r="L13" s="3107"/>
      <c r="M13" s="3107"/>
      <c r="N13" s="3107"/>
      <c r="O13" s="3107"/>
      <c r="P13" s="3107"/>
      <c r="Q13" s="3108"/>
      <c r="R13" s="1556"/>
      <c r="S13" s="1556"/>
    </row>
    <row r="14" spans="1:32" ht="11.25" customHeight="1">
      <c r="A14" s="3106" t="s">
        <v>1421</v>
      </c>
      <c r="B14" s="3107"/>
      <c r="C14" s="3107"/>
      <c r="D14" s="3107"/>
      <c r="E14" s="3107"/>
      <c r="F14" s="3107"/>
      <c r="G14" s="3107"/>
      <c r="H14" s="3107"/>
      <c r="I14" s="3107"/>
      <c r="J14" s="3107"/>
      <c r="K14" s="3107"/>
      <c r="L14" s="3107"/>
      <c r="M14" s="3107"/>
      <c r="N14" s="3107"/>
      <c r="O14" s="3107"/>
      <c r="P14" s="3107"/>
      <c r="Q14" s="3108"/>
    </row>
    <row r="15" spans="1:32" ht="11.25" customHeight="1">
      <c r="A15" s="3106" t="s">
        <v>2034</v>
      </c>
      <c r="B15" s="3107"/>
      <c r="C15" s="3107"/>
      <c r="D15" s="3107"/>
      <c r="E15" s="3107"/>
      <c r="F15" s="3107"/>
      <c r="G15" s="3107"/>
      <c r="H15" s="3107"/>
      <c r="I15" s="3107"/>
      <c r="J15" s="3107"/>
      <c r="K15" s="3107"/>
      <c r="L15" s="3107"/>
      <c r="M15" s="3107"/>
      <c r="N15" s="3107"/>
      <c r="O15" s="3107"/>
      <c r="P15" s="3107"/>
      <c r="Q15" s="3108"/>
      <c r="R15" s="3076" t="s">
        <v>2047</v>
      </c>
      <c r="S15" s="2614"/>
    </row>
    <row r="16" spans="1:32" ht="11.25" customHeight="1">
      <c r="A16" s="3106" t="s">
        <v>2035</v>
      </c>
      <c r="B16" s="3107"/>
      <c r="C16" s="3107"/>
      <c r="D16" s="3107"/>
      <c r="E16" s="3107"/>
      <c r="F16" s="3107"/>
      <c r="G16" s="3107"/>
      <c r="H16" s="3107"/>
      <c r="I16" s="3107"/>
      <c r="J16" s="3107"/>
      <c r="K16" s="3107"/>
      <c r="L16" s="3107"/>
      <c r="M16" s="3107"/>
      <c r="N16" s="3107"/>
      <c r="O16" s="3107"/>
      <c r="P16" s="3107"/>
      <c r="Q16" s="3108"/>
      <c r="R16" s="3076"/>
      <c r="S16" s="2614"/>
    </row>
    <row r="17" spans="1:31" ht="11.25" customHeight="1">
      <c r="A17" s="3106" t="s">
        <v>2036</v>
      </c>
      <c r="B17" s="3107"/>
      <c r="C17" s="3107"/>
      <c r="D17" s="3107"/>
      <c r="E17" s="3107"/>
      <c r="F17" s="3107"/>
      <c r="G17" s="3107"/>
      <c r="H17" s="3107"/>
      <c r="I17" s="3107"/>
      <c r="J17" s="3107"/>
      <c r="K17" s="3107"/>
      <c r="L17" s="3107"/>
      <c r="M17" s="3107"/>
      <c r="N17" s="3107"/>
      <c r="O17" s="3107"/>
      <c r="P17" s="3107"/>
      <c r="Q17" s="3108"/>
      <c r="R17" s="3076"/>
      <c r="S17" s="2614"/>
    </row>
    <row r="18" spans="1:31" ht="11.25" customHeight="1">
      <c r="A18" s="3106" t="s">
        <v>2037</v>
      </c>
      <c r="B18" s="3107"/>
      <c r="C18" s="3107"/>
      <c r="D18" s="3107"/>
      <c r="E18" s="3107"/>
      <c r="F18" s="3107"/>
      <c r="G18" s="3107"/>
      <c r="H18" s="3107"/>
      <c r="I18" s="3107"/>
      <c r="J18" s="3107"/>
      <c r="K18" s="3107"/>
      <c r="L18" s="3107"/>
      <c r="M18" s="3107"/>
      <c r="N18" s="3107"/>
      <c r="O18" s="3107"/>
      <c r="P18" s="3107"/>
      <c r="Q18" s="3108"/>
      <c r="R18" s="3076"/>
      <c r="S18" s="2614"/>
    </row>
    <row r="19" spans="1:31" ht="11.25" customHeight="1">
      <c r="A19" s="3106" t="s">
        <v>2038</v>
      </c>
      <c r="B19" s="3107"/>
      <c r="C19" s="3107"/>
      <c r="D19" s="3107"/>
      <c r="E19" s="3107"/>
      <c r="F19" s="3107"/>
      <c r="G19" s="3107"/>
      <c r="H19" s="3107"/>
      <c r="I19" s="3107"/>
      <c r="J19" s="3107"/>
      <c r="K19" s="3107"/>
      <c r="L19" s="3107"/>
      <c r="M19" s="3107"/>
      <c r="N19" s="3107"/>
      <c r="O19" s="3107"/>
      <c r="P19" s="3107"/>
      <c r="Q19" s="3108"/>
      <c r="R19" s="3076"/>
      <c r="S19" s="2614"/>
    </row>
    <row r="20" spans="1:31" ht="11.25" customHeight="1">
      <c r="A20" s="3106" t="s">
        <v>2039</v>
      </c>
      <c r="B20" s="3107"/>
      <c r="C20" s="3107"/>
      <c r="D20" s="3107"/>
      <c r="E20" s="3107"/>
      <c r="F20" s="3107"/>
      <c r="G20" s="3107"/>
      <c r="H20" s="3107"/>
      <c r="I20" s="3107"/>
      <c r="J20" s="3107"/>
      <c r="K20" s="3107"/>
      <c r="L20" s="3107"/>
      <c r="M20" s="3107"/>
      <c r="N20" s="3107"/>
      <c r="O20" s="3107"/>
      <c r="P20" s="3107"/>
      <c r="Q20" s="3108"/>
      <c r="R20" s="3076"/>
      <c r="S20" s="2614"/>
    </row>
    <row r="21" spans="1:31" ht="11.25" customHeight="1">
      <c r="A21" s="3106" t="s">
        <v>2040</v>
      </c>
      <c r="B21" s="3107"/>
      <c r="C21" s="3107"/>
      <c r="D21" s="3107"/>
      <c r="E21" s="3107"/>
      <c r="F21" s="3107"/>
      <c r="G21" s="3107"/>
      <c r="H21" s="3107"/>
      <c r="I21" s="3107"/>
      <c r="J21" s="3107"/>
      <c r="K21" s="3107"/>
      <c r="L21" s="3107"/>
      <c r="M21" s="3107"/>
      <c r="N21" s="3107"/>
      <c r="O21" s="3107"/>
      <c r="P21" s="3107"/>
      <c r="Q21" s="3108"/>
    </row>
    <row r="22" spans="1:31" ht="11.25" customHeight="1">
      <c r="A22" s="3106" t="s">
        <v>2041</v>
      </c>
      <c r="B22" s="3107"/>
      <c r="C22" s="3107"/>
      <c r="D22" s="3107"/>
      <c r="E22" s="3107"/>
      <c r="F22" s="3107"/>
      <c r="G22" s="3107"/>
      <c r="H22" s="3107"/>
      <c r="I22" s="3107"/>
      <c r="J22" s="3107"/>
      <c r="K22" s="3107"/>
      <c r="L22" s="3107"/>
      <c r="M22" s="3107"/>
      <c r="N22" s="3107"/>
      <c r="O22" s="3107"/>
      <c r="P22" s="3107"/>
      <c r="Q22" s="3108"/>
      <c r="R22" s="3076" t="s">
        <v>2047</v>
      </c>
      <c r="S22" s="2614"/>
    </row>
    <row r="23" spans="1:31" ht="11.25" customHeight="1">
      <c r="A23" s="3106" t="s">
        <v>2042</v>
      </c>
      <c r="B23" s="3107"/>
      <c r="C23" s="3107"/>
      <c r="D23" s="3107"/>
      <c r="E23" s="3107"/>
      <c r="F23" s="3107"/>
      <c r="G23" s="3107"/>
      <c r="H23" s="3107"/>
      <c r="I23" s="3107"/>
      <c r="J23" s="3107"/>
      <c r="K23" s="3107"/>
      <c r="L23" s="3107"/>
      <c r="M23" s="3107"/>
      <c r="N23" s="3107"/>
      <c r="O23" s="3107"/>
      <c r="P23" s="3107"/>
      <c r="Q23" s="3108"/>
      <c r="R23" s="3076"/>
      <c r="S23" s="2614"/>
    </row>
    <row r="24" spans="1:31" ht="11.25" customHeight="1">
      <c r="A24" s="3106" t="s">
        <v>2043</v>
      </c>
      <c r="B24" s="3107"/>
      <c r="C24" s="3107"/>
      <c r="D24" s="3107"/>
      <c r="E24" s="3107"/>
      <c r="F24" s="3107"/>
      <c r="G24" s="3107"/>
      <c r="H24" s="3107"/>
      <c r="I24" s="3107"/>
      <c r="J24" s="3107"/>
      <c r="K24" s="3107"/>
      <c r="L24" s="3107"/>
      <c r="M24" s="3107"/>
      <c r="N24" s="3107"/>
      <c r="O24" s="3107"/>
      <c r="P24" s="3107"/>
      <c r="Q24" s="3108"/>
      <c r="R24" s="3076"/>
      <c r="S24" s="2614"/>
    </row>
    <row r="25" spans="1:31" ht="11.25" customHeight="1">
      <c r="A25" s="3106" t="s">
        <v>2044</v>
      </c>
      <c r="B25" s="3107"/>
      <c r="C25" s="3107"/>
      <c r="D25" s="3107"/>
      <c r="E25" s="3107"/>
      <c r="F25" s="3107"/>
      <c r="G25" s="3107"/>
      <c r="H25" s="3107"/>
      <c r="I25" s="3107"/>
      <c r="J25" s="3107"/>
      <c r="K25" s="3107"/>
      <c r="L25" s="3107"/>
      <c r="M25" s="3107"/>
      <c r="N25" s="3107"/>
      <c r="O25" s="3107"/>
      <c r="P25" s="3107"/>
      <c r="Q25" s="3108"/>
      <c r="R25" s="3076"/>
      <c r="S25" s="2614"/>
    </row>
    <row r="26" spans="1:31" ht="11.25" customHeight="1">
      <c r="A26" s="3106" t="s">
        <v>2045</v>
      </c>
      <c r="B26" s="3107"/>
      <c r="C26" s="3107"/>
      <c r="D26" s="3107"/>
      <c r="E26" s="3107"/>
      <c r="F26" s="3107"/>
      <c r="G26" s="3107"/>
      <c r="H26" s="3107"/>
      <c r="I26" s="3107"/>
      <c r="J26" s="3107"/>
      <c r="K26" s="3107"/>
      <c r="L26" s="3107"/>
      <c r="M26" s="3107"/>
      <c r="N26" s="3107"/>
      <c r="O26" s="3107"/>
      <c r="P26" s="3107"/>
      <c r="Q26" s="3108"/>
      <c r="R26" s="3076"/>
      <c r="S26" s="2614"/>
    </row>
    <row r="27" spans="1:31" ht="11.25" customHeight="1">
      <c r="A27" s="3127" t="s">
        <v>2046</v>
      </c>
      <c r="B27" s="3128"/>
      <c r="C27" s="3128"/>
      <c r="D27" s="3128"/>
      <c r="E27" s="3128"/>
      <c r="F27" s="3128"/>
      <c r="G27" s="3128"/>
      <c r="H27" s="3128"/>
      <c r="I27" s="3128"/>
      <c r="J27" s="3128"/>
      <c r="K27" s="3128"/>
      <c r="L27" s="3128"/>
      <c r="M27" s="3128"/>
      <c r="N27" s="3128"/>
      <c r="O27" s="3128"/>
      <c r="P27" s="3128"/>
      <c r="Q27" s="3129"/>
      <c r="R27" s="3076"/>
      <c r="S27" s="2614"/>
    </row>
    <row r="28" spans="1:31" ht="6" customHeight="1"/>
    <row r="29" spans="1:31" ht="13.9" customHeight="1">
      <c r="A29" s="133" t="s">
        <v>622</v>
      </c>
      <c r="B29" s="134" t="s">
        <v>2668</v>
      </c>
      <c r="C29" s="135"/>
      <c r="D29" s="89"/>
      <c r="E29" s="89"/>
      <c r="F29" s="89"/>
      <c r="G29" s="89"/>
      <c r="I29" s="1589"/>
      <c r="J29" s="1589"/>
      <c r="K29" s="1589"/>
      <c r="L29" s="1585"/>
      <c r="M29" s="1585"/>
      <c r="O29" s="136" t="s">
        <v>1881</v>
      </c>
      <c r="P29" s="3116"/>
      <c r="Q29" s="3117"/>
    </row>
    <row r="30" spans="1:31" ht="3" customHeight="1"/>
    <row r="31" spans="1:31" ht="11.25" customHeight="1">
      <c r="B31" s="69" t="s">
        <v>3779</v>
      </c>
      <c r="C31" s="69"/>
      <c r="D31" s="69"/>
      <c r="E31" s="69"/>
      <c r="F31" s="69"/>
      <c r="G31" s="1589"/>
      <c r="H31" s="1589"/>
      <c r="I31" s="1589"/>
      <c r="J31" s="1589"/>
      <c r="K31" s="1585"/>
      <c r="L31" s="1585"/>
      <c r="M31" s="1585"/>
      <c r="N31" s="1585"/>
      <c r="O31" s="1585"/>
      <c r="P31" s="955"/>
      <c r="S31" s="163"/>
      <c r="T31" s="163"/>
    </row>
    <row r="32" spans="1:31" ht="108.75" customHeight="1">
      <c r="A32" s="3100" t="s">
        <v>4661</v>
      </c>
      <c r="B32" s="3101"/>
      <c r="C32" s="3101"/>
      <c r="D32" s="3101"/>
      <c r="E32" s="3101"/>
      <c r="F32" s="3101"/>
      <c r="G32" s="3101"/>
      <c r="H32" s="3101"/>
      <c r="I32" s="3101"/>
      <c r="J32" s="3101"/>
      <c r="K32" s="3101"/>
      <c r="L32" s="3101"/>
      <c r="M32" s="3101"/>
      <c r="N32" s="3101"/>
      <c r="O32" s="3101"/>
      <c r="P32" s="3101"/>
      <c r="Q32" s="3102"/>
      <c r="R32" s="461" t="s">
        <v>1266</v>
      </c>
      <c r="S32" s="462"/>
      <c r="T32" s="163"/>
      <c r="U32" s="140"/>
      <c r="V32" s="140"/>
      <c r="W32" s="140"/>
      <c r="X32" s="140"/>
      <c r="Y32" s="140"/>
      <c r="Z32" s="140"/>
      <c r="AA32" s="140"/>
      <c r="AB32" s="140"/>
      <c r="AC32" s="140"/>
      <c r="AD32" s="140"/>
      <c r="AE32" s="486"/>
    </row>
    <row r="33" spans="1:295" ht="11.25" customHeight="1">
      <c r="B33" s="141" t="s">
        <v>1880</v>
      </c>
      <c r="C33" s="142"/>
      <c r="D33" s="1592"/>
      <c r="E33" s="1592"/>
      <c r="F33" s="1592"/>
      <c r="G33" s="1592"/>
      <c r="H33" s="1592"/>
      <c r="I33" s="1592"/>
      <c r="J33" s="1592"/>
      <c r="K33" s="1592"/>
      <c r="L33" s="1592"/>
      <c r="M33" s="1592"/>
      <c r="N33" s="1592"/>
      <c r="O33" s="1592"/>
      <c r="P33" s="1592"/>
    </row>
    <row r="34" spans="1:295" ht="36" customHeight="1">
      <c r="A34" s="3118"/>
      <c r="B34" s="3118"/>
      <c r="C34" s="3118"/>
      <c r="D34" s="3118"/>
      <c r="E34" s="3118"/>
      <c r="F34" s="3118"/>
      <c r="G34" s="3118"/>
      <c r="H34" s="3118"/>
      <c r="I34" s="3118"/>
      <c r="J34" s="3118"/>
      <c r="K34" s="3118"/>
      <c r="L34" s="3118"/>
      <c r="M34" s="3118"/>
      <c r="N34" s="3118"/>
      <c r="O34" s="3118"/>
      <c r="P34" s="3118"/>
      <c r="Q34" s="3118"/>
      <c r="R34" s="461" t="s">
        <v>1266</v>
      </c>
      <c r="S34" s="462"/>
    </row>
    <row r="35" spans="1:295" ht="3" customHeight="1">
      <c r="B35" s="1589"/>
      <c r="C35" s="1592"/>
      <c r="D35" s="1592"/>
      <c r="E35" s="1592"/>
      <c r="F35" s="1592"/>
      <c r="G35" s="1592"/>
      <c r="H35" s="1592"/>
      <c r="I35" s="1592"/>
      <c r="J35" s="1592"/>
      <c r="K35" s="1592"/>
      <c r="L35" s="1592"/>
      <c r="M35" s="1592"/>
      <c r="N35" s="1592"/>
      <c r="O35" s="1592"/>
      <c r="P35" s="1592"/>
      <c r="Q35" s="1585"/>
    </row>
    <row r="36" spans="1:295" ht="12.75" customHeight="1">
      <c r="A36" s="1586" t="s">
        <v>748</v>
      </c>
      <c r="B36" s="4" t="s">
        <v>2729</v>
      </c>
      <c r="C36" s="4"/>
      <c r="D36" s="4"/>
      <c r="E36" s="1592"/>
      <c r="G36" s="652"/>
      <c r="H36" s="652"/>
      <c r="I36" s="652"/>
      <c r="J36" s="43"/>
      <c r="L36" s="653"/>
      <c r="M36" s="653"/>
      <c r="N36" s="653"/>
      <c r="O36" s="136" t="s">
        <v>1881</v>
      </c>
      <c r="P36" s="3116"/>
      <c r="Q36" s="3117"/>
    </row>
    <row r="37" spans="1:295" ht="11.25" customHeight="1">
      <c r="A37" s="3119" t="s">
        <v>3473</v>
      </c>
      <c r="B37" s="3119"/>
      <c r="C37" s="3119"/>
      <c r="D37" s="3119"/>
      <c r="E37" s="3119"/>
      <c r="F37" s="3119"/>
      <c r="G37" s="3120" t="s">
        <v>2733</v>
      </c>
      <c r="H37" s="3121"/>
      <c r="I37" s="656"/>
      <c r="J37" s="43"/>
      <c r="K37" s="3122" t="s">
        <v>3661</v>
      </c>
      <c r="L37" s="3123"/>
      <c r="M37" s="3123"/>
      <c r="N37" s="3124"/>
    </row>
    <row r="38" spans="1:295" ht="11.25" customHeight="1">
      <c r="A38" s="3119"/>
      <c r="B38" s="3119"/>
      <c r="C38" s="3119"/>
      <c r="D38" s="3119"/>
      <c r="E38" s="3119"/>
      <c r="F38" s="3119"/>
      <c r="G38" s="3125" t="s">
        <v>348</v>
      </c>
      <c r="H38" s="3126"/>
      <c r="I38" s="656"/>
      <c r="J38" s="43"/>
      <c r="K38" s="3156" t="s">
        <v>3662</v>
      </c>
      <c r="L38" s="3157"/>
      <c r="M38" s="3157"/>
      <c r="N38" s="3158"/>
      <c r="P38" s="545" t="s">
        <v>2753</v>
      </c>
      <c r="Q38" s="2210" t="s">
        <v>3010</v>
      </c>
    </row>
    <row r="39" spans="1:295" ht="4.5" customHeight="1">
      <c r="A39" s="3119"/>
      <c r="B39" s="3119"/>
      <c r="C39" s="3119"/>
      <c r="D39" s="3119"/>
      <c r="E39" s="3119"/>
      <c r="F39" s="3119"/>
      <c r="G39" s="222"/>
      <c r="H39" s="222"/>
      <c r="I39" s="222"/>
      <c r="J39" s="43"/>
      <c r="K39" s="3109"/>
      <c r="L39" s="3109"/>
      <c r="M39" s="3109"/>
      <c r="N39" s="3109"/>
    </row>
    <row r="40" spans="1:295" s="85" customFormat="1" ht="10.5" customHeight="1">
      <c r="D40" s="657" t="s">
        <v>2732</v>
      </c>
      <c r="E40" s="36"/>
      <c r="F40" s="658" t="s">
        <v>3475</v>
      </c>
      <c r="G40" s="3110" t="s">
        <v>3474</v>
      </c>
      <c r="H40" s="3110"/>
      <c r="I40" s="3110"/>
      <c r="J40" s="36"/>
      <c r="K40" s="658" t="s">
        <v>3475</v>
      </c>
      <c r="L40" s="3110" t="s">
        <v>3474</v>
      </c>
      <c r="M40" s="3110"/>
      <c r="N40" s="3110"/>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3111" t="s">
        <v>3379</v>
      </c>
      <c r="B41" s="3111"/>
      <c r="C41" s="3111"/>
      <c r="D41" s="902" t="s">
        <v>573</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127800</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140580</v>
      </c>
      <c r="M41" s="41" t="str">
        <f>CONCATENATE("x ", K41," units = ")</f>
        <v xml:space="preserve">x 0 units = </v>
      </c>
      <c r="N41" s="906">
        <f>K41*L41</f>
        <v>0</v>
      </c>
      <c r="O41" s="1592"/>
      <c r="P41" s="3190" t="s">
        <v>3921</v>
      </c>
      <c r="Q41" s="3190"/>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3111"/>
      <c r="B42" s="3111"/>
      <c r="C42" s="3111"/>
      <c r="D42" s="902" t="s">
        <v>2456</v>
      </c>
      <c r="E42" s="903">
        <v>1</v>
      </c>
      <c r="F42" s="904">
        <f>'Part VI-Revenues &amp; Expenses'!$K$104</f>
        <v>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167186</v>
      </c>
      <c r="H42" s="41" t="str">
        <f>CONCATENATE("x ", F42," units = ")</f>
        <v xml:space="preserve">x 0 units = </v>
      </c>
      <c r="I42" s="906">
        <f>F42*G42</f>
        <v>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183904</v>
      </c>
      <c r="M42" s="41" t="str">
        <f>CONCATENATE("x ", K42," units = ")</f>
        <v xml:space="preserve">x 0 units = </v>
      </c>
      <c r="N42" s="906">
        <f>K42*L42</f>
        <v>0</v>
      </c>
      <c r="O42" s="1592"/>
      <c r="P42" s="3112" t="str">
        <f>IF('Part I-Project Information'!$F$38="","",VLOOKUP('Part I-Project Information'!$J$39,'DCA Underwriting Assumptions'!$G$155:$N$314,8,FALSE))</f>
        <v>Macon</v>
      </c>
      <c r="Q42" s="3113"/>
      <c r="R42" s="422"/>
      <c r="S42" s="3091" t="s">
        <v>4133</v>
      </c>
      <c r="T42" s="3091"/>
      <c r="U42" s="3091"/>
      <c r="V42" s="3091"/>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3111"/>
      <c r="B43" s="3111"/>
      <c r="C43" s="3111"/>
      <c r="D43" s="902" t="s">
        <v>2457</v>
      </c>
      <c r="E43" s="903">
        <v>2</v>
      </c>
      <c r="F43" s="904">
        <f>'Part VI-Revenues &amp; Expenses'!$L$104</f>
        <v>24</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202798</v>
      </c>
      <c r="H43" s="41" t="str">
        <f>CONCATENATE("x ", F43," units = ")</f>
        <v xml:space="preserve">x 24 units = </v>
      </c>
      <c r="I43" s="906">
        <f>F43*G43</f>
        <v>4867152</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223077</v>
      </c>
      <c r="M43" s="41" t="str">
        <f>CONCATENATE("x ", K43," units = ")</f>
        <v xml:space="preserve">x 0 units = </v>
      </c>
      <c r="N43" s="906">
        <f>K43*L43</f>
        <v>0</v>
      </c>
      <c r="O43" s="1592"/>
      <c r="P43" s="3114"/>
      <c r="Q43" s="3115"/>
      <c r="S43" s="3091"/>
      <c r="T43" s="3091"/>
      <c r="U43" s="3091"/>
      <c r="V43" s="3091"/>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3111"/>
      <c r="B44" s="3111"/>
      <c r="C44" s="3111"/>
      <c r="D44" s="902" t="s">
        <v>2458</v>
      </c>
      <c r="E44" s="903">
        <v>3</v>
      </c>
      <c r="F44" s="904">
        <f>'Part VI-Revenues &amp; Expenses'!$M$104</f>
        <v>18</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247764</v>
      </c>
      <c r="H44" s="41" t="str">
        <f>CONCATENATE("x ", F44," units = ")</f>
        <v xml:space="preserve">x 18 units = </v>
      </c>
      <c r="I44" s="906">
        <f>F44*G44</f>
        <v>4459752</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272540</v>
      </c>
      <c r="M44" s="41" t="str">
        <f>CONCATENATE("x ", K44," units = ")</f>
        <v xml:space="preserve">x 0 units = </v>
      </c>
      <c r="N44" s="906">
        <f>K44*L44</f>
        <v>0</v>
      </c>
      <c r="O44" s="1592"/>
      <c r="P44" s="3146" t="s">
        <v>3658</v>
      </c>
      <c r="Q44" s="3146"/>
      <c r="S44" s="3091"/>
      <c r="T44" s="3091"/>
      <c r="U44" s="3091"/>
      <c r="V44" s="3091"/>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2459</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291469</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320615</v>
      </c>
      <c r="M45" s="41" t="str">
        <f>CONCATENATE("x ", K45," units = ")</f>
        <v xml:space="preserve">x 0 units = </v>
      </c>
      <c r="N45" s="906">
        <f>K45*L45</f>
        <v>0</v>
      </c>
      <c r="O45" s="1592"/>
      <c r="P45" s="3147">
        <f>'Part IV-A-Uses of Funds'!$G$132</f>
        <v>13639318</v>
      </c>
      <c r="Q45" s="3148"/>
      <c r="S45" s="3091"/>
      <c r="T45" s="3091"/>
      <c r="U45" s="3091"/>
      <c r="V45" s="3091"/>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3389</v>
      </c>
      <c r="E46" s="137"/>
      <c r="F46" s="1198">
        <f>SUM(F41:F45)</f>
        <v>42</v>
      </c>
      <c r="G46" s="659"/>
      <c r="H46" s="1199"/>
      <c r="I46" s="1200">
        <f>SUM(I41:I45)</f>
        <v>9326904</v>
      </c>
      <c r="J46" s="1201"/>
      <c r="K46" s="1198">
        <f>SUM(K41:K45)</f>
        <v>0</v>
      </c>
      <c r="L46" s="1201"/>
      <c r="M46" s="1199"/>
      <c r="N46" s="1200">
        <f>SUM(N41:N45)</f>
        <v>0</v>
      </c>
      <c r="O46" s="1592"/>
      <c r="P46" s="3149"/>
      <c r="Q46" s="3150"/>
      <c r="S46" s="3091"/>
      <c r="T46" s="3091"/>
      <c r="U46" s="3091"/>
      <c r="V46" s="3091"/>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597"/>
      <c r="J47" s="132"/>
      <c r="K47" s="660"/>
      <c r="L47" s="132"/>
      <c r="M47" s="1592"/>
      <c r="N47" s="1597"/>
      <c r="O47" s="1592"/>
      <c r="R47" s="422"/>
      <c r="S47" s="3091"/>
      <c r="T47" s="3091"/>
      <c r="U47" s="3091"/>
      <c r="V47" s="3091"/>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3111" t="s">
        <v>3374</v>
      </c>
      <c r="B48" s="3111"/>
      <c r="C48" s="3111"/>
      <c r="D48" s="902" t="s">
        <v>573</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117337</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129070</v>
      </c>
      <c r="M48" s="41" t="str">
        <f>CONCATENATE("x ", K48," units = ")</f>
        <v xml:space="preserve">x 0 units = </v>
      </c>
      <c r="N48" s="906">
        <f>K48*L48</f>
        <v>0</v>
      </c>
      <c r="P48" s="3151" t="s">
        <v>4132</v>
      </c>
      <c r="Q48" s="3151"/>
      <c r="S48" s="3091"/>
      <c r="T48" s="3091"/>
      <c r="U48" s="3091"/>
      <c r="V48" s="3091"/>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3111"/>
      <c r="B49" s="3111"/>
      <c r="C49" s="3111"/>
      <c r="D49" s="902" t="s">
        <v>2456</v>
      </c>
      <c r="E49" s="903">
        <v>1</v>
      </c>
      <c r="F49" s="904">
        <f>'Part VI-Revenues &amp; Expenses'!$K$106</f>
        <v>0</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153594</v>
      </c>
      <c r="H49" s="41" t="str">
        <f>CONCATENATE("x ", F49," units = ")</f>
        <v xml:space="preserve">x 0 units = </v>
      </c>
      <c r="I49" s="906">
        <f>F49*G49</f>
        <v>0</v>
      </c>
      <c r="J49" s="43"/>
      <c r="K49" s="904">
        <f>'Part VI-Revenues &amp; Expenses'!$K$107</f>
        <v>0</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168953</v>
      </c>
      <c r="M49" s="41" t="str">
        <f>CONCATENATE("x ", K49," units = ")</f>
        <v xml:space="preserve">x 0 units = </v>
      </c>
      <c r="N49" s="906">
        <f>K49*L49</f>
        <v>0</v>
      </c>
      <c r="P49" s="3152"/>
      <c r="Q49" s="3153"/>
      <c r="S49" s="3091"/>
      <c r="T49" s="3091"/>
      <c r="U49" s="3091"/>
      <c r="V49" s="3091"/>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3111"/>
      <c r="B50" s="3111"/>
      <c r="C50" s="3111"/>
      <c r="D50" s="902" t="s">
        <v>2457</v>
      </c>
      <c r="E50" s="903">
        <v>2</v>
      </c>
      <c r="F50" s="904">
        <f>'Part VI-Revenues &amp; Expenses'!$L$106</f>
        <v>15</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186661</v>
      </c>
      <c r="H50" s="41" t="str">
        <f>CONCATENATE("x ", F50," units = ")</f>
        <v xml:space="preserve">x 15 units = </v>
      </c>
      <c r="I50" s="906">
        <f>F50*G50</f>
        <v>2799915</v>
      </c>
      <c r="J50" s="43"/>
      <c r="K50" s="904">
        <f>'Part VI-Revenues &amp; Expenses'!$L$107</f>
        <v>0</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205327</v>
      </c>
      <c r="M50" s="41" t="str">
        <f>CONCATENATE("x ", K50," units = ")</f>
        <v xml:space="preserve">x 0 units = </v>
      </c>
      <c r="N50" s="906">
        <f>K50*L50</f>
        <v>0</v>
      </c>
      <c r="O50" s="595"/>
      <c r="P50" s="3154"/>
      <c r="Q50" s="3155"/>
      <c r="R50" s="422"/>
      <c r="S50" s="3091"/>
      <c r="T50" s="3091"/>
      <c r="U50" s="3091"/>
      <c r="V50" s="3091"/>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2458</v>
      </c>
      <c r="E51" s="903">
        <v>3</v>
      </c>
      <c r="F51" s="904">
        <f>'Part VI-Revenues &amp; Expenses'!$M$106</f>
        <v>0</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228950</v>
      </c>
      <c r="H51" s="41" t="str">
        <f>CONCATENATE("x ", F51," units = ")</f>
        <v xml:space="preserve">x 0 units = </v>
      </c>
      <c r="I51" s="906">
        <f>F51*G51</f>
        <v>0</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251845</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2459</v>
      </c>
      <c r="E52" s="903">
        <v>4</v>
      </c>
      <c r="F52" s="904">
        <f>'Part VI-Revenues &amp; Expenses'!$N$106</f>
        <v>0</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271546</v>
      </c>
      <c r="H52" s="41" t="str">
        <f>CONCATENATE("x ", F52," units = ")</f>
        <v xml:space="preserve">x 0 units = </v>
      </c>
      <c r="I52" s="906">
        <f>F52*G52</f>
        <v>0</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298700</v>
      </c>
      <c r="M52" s="41" t="str">
        <f>CONCATENATE("x ", K52," units = ")</f>
        <v xml:space="preserve">x 0 units = </v>
      </c>
      <c r="N52" s="906">
        <f>K52*L52</f>
        <v>0</v>
      </c>
      <c r="O52" s="595"/>
      <c r="P52" s="3139" t="s">
        <v>3656</v>
      </c>
      <c r="Q52" s="3139"/>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3389</v>
      </c>
      <c r="E53" s="137"/>
      <c r="F53" s="1198">
        <f>SUM(F48:F52)</f>
        <v>15</v>
      </c>
      <c r="G53" s="659"/>
      <c r="H53" s="1199"/>
      <c r="I53" s="1200">
        <f>SUM(I48:I52)</f>
        <v>2799915</v>
      </c>
      <c r="J53" s="1201"/>
      <c r="K53" s="1198">
        <f>SUM(K48:K52)</f>
        <v>0</v>
      </c>
      <c r="L53" s="1201"/>
      <c r="M53" s="1199"/>
      <c r="N53" s="1200">
        <f>SUM(N48:N52)</f>
        <v>0</v>
      </c>
      <c r="O53" s="595"/>
      <c r="P53" s="1204" t="s">
        <v>3266</v>
      </c>
      <c r="Q53" s="1204" t="s">
        <v>258</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597"/>
      <c r="J54" s="36"/>
      <c r="K54" s="660"/>
      <c r="L54" s="36"/>
      <c r="M54" s="1592"/>
      <c r="N54" s="1597"/>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3375</v>
      </c>
      <c r="B55" s="608"/>
      <c r="C55" s="1"/>
      <c r="D55" s="902" t="s">
        <v>573</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101764</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111940</v>
      </c>
      <c r="M55" s="41" t="str">
        <f>CONCATENATE("x ", K55," units = ")</f>
        <v xml:space="preserve">x 0 units = </v>
      </c>
      <c r="N55" s="906">
        <f>K55*L55</f>
        <v>0</v>
      </c>
      <c r="O55" s="595"/>
      <c r="P55" s="1203">
        <f>'Part IX A-Scoring Criteria'!O414</f>
        <v>0</v>
      </c>
      <c r="Q55" s="1203">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2456</v>
      </c>
      <c r="E56" s="903">
        <v>1</v>
      </c>
      <c r="F56" s="904">
        <f>'Part VI-Revenues &amp; Expenses'!$K$108</f>
        <v>0</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140627</v>
      </c>
      <c r="H56" s="41" t="str">
        <f>CONCATENATE("x ", F56," units = ")</f>
        <v xml:space="preserve">x 0 units = </v>
      </c>
      <c r="I56" s="906">
        <f>F56*G56</f>
        <v>0</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154689</v>
      </c>
      <c r="M56" s="41" t="str">
        <f>CONCATENATE("x ", K56," units = ")</f>
        <v xml:space="preserve">x 0 units = </v>
      </c>
      <c r="N56" s="906">
        <f>K56*L56</f>
        <v>0</v>
      </c>
      <c r="P56" s="3139" t="s">
        <v>3657</v>
      </c>
      <c r="Q56" s="3139"/>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2457</v>
      </c>
      <c r="E57" s="903">
        <v>2</v>
      </c>
      <c r="F57" s="904">
        <f>'Part VI-Revenues &amp; Expenses'!$L$108</f>
        <v>6</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178438</v>
      </c>
      <c r="H57" s="41" t="str">
        <f>CONCATENATE("x ", F57," units = ")</f>
        <v xml:space="preserve">x 6 units = </v>
      </c>
      <c r="I57" s="906">
        <f>F57*G57</f>
        <v>1070628</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196281</v>
      </c>
      <c r="M57" s="41" t="str">
        <f>CONCATENATE("x ", K57," units = ")</f>
        <v xml:space="preserve">x 0 units = </v>
      </c>
      <c r="N57" s="906">
        <f>K57*L57</f>
        <v>0</v>
      </c>
      <c r="P57" s="1204" t="s">
        <v>3266</v>
      </c>
      <c r="Q57" s="1204" t="s">
        <v>258</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2458</v>
      </c>
      <c r="E58" s="903">
        <v>3</v>
      </c>
      <c r="F58" s="904">
        <f>'Part VI-Revenues &amp; Expenses'!$M$108</f>
        <v>2</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233177</v>
      </c>
      <c r="H58" s="41" t="str">
        <f>CONCATENATE("x ", F58," units = ")</f>
        <v xml:space="preserve">x 2 units = </v>
      </c>
      <c r="I58" s="906">
        <f>F58*G58</f>
        <v>466354</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256494</v>
      </c>
      <c r="M58" s="41" t="str">
        <f>CONCATENATE("x ", K58," units = ")</f>
        <v xml:space="preserve">x 0 units = </v>
      </c>
      <c r="N58" s="906">
        <f>K58*L58</f>
        <v>0</v>
      </c>
      <c r="O58" s="595"/>
      <c r="P58" s="1203">
        <f>'Part IX A-Scoring Criteria'!O67</f>
        <v>3</v>
      </c>
      <c r="Q58" s="1203">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2459</v>
      </c>
      <c r="E59" s="903">
        <v>4</v>
      </c>
      <c r="F59" s="904">
        <f>'Part VI-Revenues &amp; Expenses'!$N$108</f>
        <v>0</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290589</v>
      </c>
      <c r="H59" s="41" t="str">
        <f>CONCATENATE("x ", F59," units = ")</f>
        <v xml:space="preserve">x 0 units = </v>
      </c>
      <c r="I59" s="906">
        <f>F59*G59</f>
        <v>0</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319647</v>
      </c>
      <c r="M59" s="41" t="str">
        <f>CONCATENATE("x ", K59," units = ")</f>
        <v xml:space="preserve">x 0 units = </v>
      </c>
      <c r="N59" s="906">
        <f>K59*L59</f>
        <v>0</v>
      </c>
      <c r="O59" s="595"/>
      <c r="P59" s="3140" t="s">
        <v>2788</v>
      </c>
      <c r="Q59" s="3140"/>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3389</v>
      </c>
      <c r="E60" s="137"/>
      <c r="F60" s="1198">
        <f>SUM(F55:F59)</f>
        <v>8</v>
      </c>
      <c r="G60" s="659"/>
      <c r="H60" s="1199"/>
      <c r="I60" s="1200">
        <f>SUM(I55:I59)</f>
        <v>1536982</v>
      </c>
      <c r="J60" s="1201"/>
      <c r="K60" s="1198">
        <f>SUM(K55:K59)</f>
        <v>0</v>
      </c>
      <c r="L60" s="1201"/>
      <c r="M60" s="1199"/>
      <c r="N60" s="1200">
        <f>SUM(N55:N59)</f>
        <v>0</v>
      </c>
      <c r="O60" s="595"/>
      <c r="P60" s="3140"/>
      <c r="Q60" s="3140"/>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597"/>
      <c r="J61" s="36"/>
      <c r="K61" s="660"/>
      <c r="L61" s="36"/>
      <c r="M61" s="1592"/>
      <c r="N61" s="1597"/>
      <c r="O61" s="595"/>
      <c r="P61" s="3140"/>
      <c r="Q61" s="3140"/>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3376</v>
      </c>
      <c r="B62" s="8"/>
      <c r="C62" s="1"/>
      <c r="D62" s="902" t="s">
        <v>573</v>
      </c>
      <c r="E62" s="903">
        <v>0</v>
      </c>
      <c r="F62" s="904">
        <f>'Part VI-Revenues &amp; Expenses'!$J$110</f>
        <v>0</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104227</v>
      </c>
      <c r="H62" s="41" t="str">
        <f>CONCATENATE("x ", F62," units = ")</f>
        <v xml:space="preserve">x 0 units = </v>
      </c>
      <c r="I62" s="906">
        <f>F62*G62</f>
        <v>0</v>
      </c>
      <c r="J62" s="43"/>
      <c r="K62" s="904">
        <f>'Part VI-Revenues &amp; Expenses'!$J$111</f>
        <v>0</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114649</v>
      </c>
      <c r="M62" s="41" t="str">
        <f>CONCATENATE("x ", K62," units = ")</f>
        <v xml:space="preserve">x 0 units = </v>
      </c>
      <c r="N62" s="906">
        <f>K62*L62</f>
        <v>0</v>
      </c>
      <c r="O62" s="595"/>
      <c r="P62" s="3141"/>
      <c r="Q62" s="3141"/>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2456</v>
      </c>
      <c r="E63" s="903">
        <v>1</v>
      </c>
      <c r="F63" s="904">
        <f>'Part VI-Revenues &amp; Expenses'!$K$110</f>
        <v>0</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145918</v>
      </c>
      <c r="H63" s="41" t="str">
        <f>CONCATENATE("x ", F63," units = ")</f>
        <v xml:space="preserve">x 0 units = </v>
      </c>
      <c r="I63" s="906">
        <f>F63*G63</f>
        <v>0</v>
      </c>
      <c r="J63" s="43"/>
      <c r="K63" s="904">
        <f>'Part VI-Revenues &amp; Expenses'!$K$111</f>
        <v>0</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160509</v>
      </c>
      <c r="M63" s="41" t="str">
        <f>CONCATENATE("x ", K63," units = ")</f>
        <v xml:space="preserve">x 0 units = </v>
      </c>
      <c r="N63" s="906">
        <f>K63*L63</f>
        <v>0</v>
      </c>
      <c r="O63" s="595"/>
      <c r="P63" s="3142">
        <f>IF(P49&gt;1,P49, IF(OR('Part IX A-Scoring Criteria'!$O$67='Part IX A-Scoring Criteria'!$M$67,AND('Part IV-A-Uses of Funds'!$T$165="Yes",'Part IX A-Scoring Criteria'!$O$414&gt;0)),H69+M69,H69))</f>
        <v>13663801</v>
      </c>
      <c r="Q63" s="3143"/>
      <c r="R63" s="3171"/>
      <c r="S63" s="3172"/>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2457</v>
      </c>
      <c r="E64" s="903">
        <v>2</v>
      </c>
      <c r="F64" s="904">
        <f>'Part VI-Revenues &amp; Expenses'!$L$110</f>
        <v>0</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187609</v>
      </c>
      <c r="H64" s="41" t="str">
        <f>CONCATENATE("x ", F64," units = ")</f>
        <v xml:space="preserve">x 0 units = </v>
      </c>
      <c r="I64" s="906">
        <f>F64*G64</f>
        <v>0</v>
      </c>
      <c r="J64" s="43"/>
      <c r="K64" s="904">
        <f>'Part VI-Revenues &amp; Expenses'!$L$111</f>
        <v>0</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206369</v>
      </c>
      <c r="M64" s="41" t="str">
        <f>CONCATENATE("x ", K64," units = ")</f>
        <v xml:space="preserve">x 0 units = </v>
      </c>
      <c r="N64" s="906">
        <f>K64*L64</f>
        <v>0</v>
      </c>
      <c r="P64" s="3144"/>
      <c r="Q64" s="3145"/>
      <c r="R64" s="3171"/>
      <c r="S64" s="3172"/>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2458</v>
      </c>
      <c r="E65" s="903">
        <v>3</v>
      </c>
      <c r="F65" s="904">
        <f>'Part VI-Revenues &amp; Expenses'!$M$110</f>
        <v>0</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250145</v>
      </c>
      <c r="H65" s="41" t="str">
        <f>CONCATENATE("x ", F65," units = ")</f>
        <v xml:space="preserve">x 0 units = </v>
      </c>
      <c r="I65" s="906">
        <f>F65*G65</f>
        <v>0</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275159</v>
      </c>
      <c r="M65" s="41" t="str">
        <f>CONCATENATE("x ", K65," units = ")</f>
        <v xml:space="preserve">x 0 units = </v>
      </c>
      <c r="N65" s="906">
        <f>K65*L65</f>
        <v>0</v>
      </c>
      <c r="P65" s="3185" t="s">
        <v>4295</v>
      </c>
      <c r="Q65" s="3185"/>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2459</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312681</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343949</v>
      </c>
      <c r="M66" s="41" t="str">
        <f>CONCATENATE("x ", K66," units = ")</f>
        <v xml:space="preserve">x 0 units = </v>
      </c>
      <c r="N66" s="906">
        <f>K66*L66</f>
        <v>0</v>
      </c>
      <c r="O66" s="595"/>
      <c r="P66" s="3185"/>
      <c r="Q66" s="3185"/>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3389</v>
      </c>
      <c r="E67" s="137"/>
      <c r="F67" s="1198">
        <f>SUM(F62:F66)</f>
        <v>0</v>
      </c>
      <c r="G67" s="659"/>
      <c r="H67" s="1199"/>
      <c r="I67" s="1202">
        <f>SUM(I62:I66)</f>
        <v>0</v>
      </c>
      <c r="J67" s="1201"/>
      <c r="K67" s="1198">
        <f>SUM(K62:K66)</f>
        <v>0</v>
      </c>
      <c r="L67" s="1201"/>
      <c r="M67" s="1199"/>
      <c r="N67" s="1202">
        <f>SUM(N62:N66)</f>
        <v>0</v>
      </c>
      <c r="O67" s="595"/>
      <c r="P67" s="3185"/>
      <c r="Q67" s="3185"/>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90"/>
      <c r="O68" s="595"/>
      <c r="P68" s="3185"/>
      <c r="Q68" s="3185"/>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3390</v>
      </c>
      <c r="B69" s="1"/>
      <c r="C69" s="1"/>
      <c r="D69" s="93"/>
      <c r="E69" s="113"/>
      <c r="F69" s="650">
        <f>F46+F53+F60+F67</f>
        <v>65</v>
      </c>
      <c r="G69" s="346"/>
      <c r="H69" s="3189">
        <f>I46+I53+I60+I67</f>
        <v>13663801</v>
      </c>
      <c r="I69" s="3189"/>
      <c r="J69" s="3189"/>
      <c r="K69" s="650">
        <f>K46+K53+K60+K67</f>
        <v>0</v>
      </c>
      <c r="L69" s="651"/>
      <c r="M69" s="3189">
        <f>N46+N53+N60+N67</f>
        <v>0</v>
      </c>
      <c r="N69" s="3189"/>
      <c r="O69" s="3189"/>
      <c r="P69" s="3185"/>
      <c r="Q69" s="3185"/>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3779</v>
      </c>
      <c r="D70" s="98"/>
      <c r="E70" s="98"/>
      <c r="F70" s="98"/>
      <c r="G70" s="98"/>
      <c r="H70" s="41"/>
      <c r="I70" s="1589"/>
      <c r="J70" s="1589"/>
      <c r="K70" s="141" t="s">
        <v>1880</v>
      </c>
      <c r="L70" s="1585"/>
      <c r="M70" s="1585"/>
      <c r="N70" s="1585"/>
      <c r="O70" s="1585"/>
      <c r="P70" s="1585"/>
      <c r="Q70" s="955"/>
    </row>
    <row r="71" spans="1:295" ht="56.45" customHeight="1">
      <c r="A71" s="3100" t="s">
        <v>4662</v>
      </c>
      <c r="B71" s="3101"/>
      <c r="C71" s="3101"/>
      <c r="D71" s="3101"/>
      <c r="E71" s="3101"/>
      <c r="F71" s="3101"/>
      <c r="G71" s="3101"/>
      <c r="H71" s="3101"/>
      <c r="I71" s="3101"/>
      <c r="J71" s="3102"/>
      <c r="K71" s="3159"/>
      <c r="L71" s="3160"/>
      <c r="M71" s="3160"/>
      <c r="N71" s="3160"/>
      <c r="O71" s="3160"/>
      <c r="P71" s="3160"/>
      <c r="Q71" s="3161"/>
      <c r="R71" s="461" t="s">
        <v>1266</v>
      </c>
      <c r="U71" s="140"/>
      <c r="V71" s="140"/>
      <c r="W71" s="140"/>
      <c r="X71" s="140"/>
      <c r="Y71" s="140"/>
      <c r="Z71" s="140"/>
      <c r="AA71" s="140"/>
      <c r="AB71" s="140"/>
      <c r="AC71" s="140"/>
      <c r="AD71" s="140"/>
      <c r="AE71" s="486"/>
    </row>
    <row r="72" spans="1:295" ht="3" customHeight="1">
      <c r="B72" s="1589"/>
      <c r="C72" s="1592"/>
      <c r="D72" s="1592"/>
      <c r="E72" s="1592"/>
      <c r="F72" s="1592"/>
      <c r="G72" s="1592"/>
      <c r="H72" s="1592"/>
      <c r="I72" s="1592"/>
      <c r="J72" s="1592"/>
      <c r="K72" s="1592"/>
      <c r="L72" s="1592"/>
      <c r="M72" s="1592"/>
      <c r="N72" s="1592"/>
      <c r="O72" s="1592"/>
      <c r="P72" s="1592"/>
      <c r="Q72" s="1585"/>
    </row>
    <row r="73" spans="1:295" ht="12.75" customHeight="1">
      <c r="A73" s="1586" t="s">
        <v>750</v>
      </c>
      <c r="B73" s="4" t="s">
        <v>1202</v>
      </c>
      <c r="C73" s="4"/>
      <c r="D73" s="4"/>
      <c r="E73" s="1592"/>
      <c r="F73" s="1592"/>
      <c r="G73" s="144" t="s">
        <v>100</v>
      </c>
      <c r="H73" s="1592"/>
      <c r="J73" s="3186" t="str">
        <f>'Part I-Project Information'!$H$78</f>
        <v>Family</v>
      </c>
      <c r="K73" s="3187"/>
      <c r="L73" s="3188"/>
      <c r="O73" s="136" t="s">
        <v>1881</v>
      </c>
      <c r="P73" s="3116"/>
      <c r="Q73" s="3117"/>
    </row>
    <row r="74" spans="1:295" ht="10.5" customHeight="1">
      <c r="B74" s="98" t="s">
        <v>3779</v>
      </c>
      <c r="D74" s="98"/>
      <c r="E74" s="98"/>
      <c r="F74" s="98"/>
      <c r="G74" s="98"/>
      <c r="H74" s="41"/>
      <c r="I74" s="1589"/>
      <c r="J74" s="1589"/>
      <c r="K74" s="141" t="s">
        <v>1880</v>
      </c>
      <c r="L74" s="1585"/>
      <c r="M74" s="1585"/>
      <c r="N74" s="1585"/>
      <c r="O74" s="1585"/>
      <c r="P74" s="1585"/>
      <c r="Q74" s="955"/>
    </row>
    <row r="75" spans="1:295" ht="22.15" customHeight="1">
      <c r="A75" s="3100" t="s">
        <v>4724</v>
      </c>
      <c r="B75" s="3101"/>
      <c r="C75" s="3101"/>
      <c r="D75" s="3101"/>
      <c r="E75" s="3101"/>
      <c r="F75" s="3101"/>
      <c r="G75" s="3101"/>
      <c r="H75" s="3101"/>
      <c r="I75" s="3101"/>
      <c r="J75" s="3102"/>
      <c r="K75" s="3159"/>
      <c r="L75" s="3160"/>
      <c r="M75" s="3160"/>
      <c r="N75" s="3160"/>
      <c r="O75" s="3160"/>
      <c r="P75" s="3160"/>
      <c r="Q75" s="3161"/>
      <c r="R75" s="461" t="s">
        <v>1266</v>
      </c>
      <c r="U75" s="140"/>
      <c r="V75" s="140"/>
      <c r="W75" s="140"/>
      <c r="X75" s="140"/>
      <c r="Y75" s="140"/>
      <c r="Z75" s="140"/>
      <c r="AA75" s="140"/>
      <c r="AB75" s="140"/>
      <c r="AC75" s="140"/>
      <c r="AD75" s="140"/>
      <c r="AE75" s="486"/>
    </row>
    <row r="76" spans="1:295" ht="3" customHeight="1">
      <c r="A76" s="1585"/>
      <c r="B76" s="1589"/>
      <c r="C76" s="1592"/>
      <c r="D76" s="1592"/>
      <c r="E76" s="1592"/>
      <c r="F76" s="1592"/>
      <c r="G76" s="1592"/>
      <c r="H76" s="1592"/>
      <c r="I76" s="1592"/>
      <c r="J76" s="1592"/>
      <c r="K76" s="1592"/>
      <c r="L76" s="1592"/>
      <c r="M76" s="1592"/>
      <c r="N76" s="1592"/>
      <c r="O76" s="1592"/>
      <c r="P76" s="1592"/>
      <c r="Q76" s="1585"/>
    </row>
    <row r="77" spans="1:295" ht="12.75" customHeight="1">
      <c r="A77" s="1586" t="s">
        <v>1805</v>
      </c>
      <c r="B77" s="1586" t="s">
        <v>2669</v>
      </c>
      <c r="C77" s="116"/>
      <c r="D77" s="1592"/>
      <c r="E77" s="1592"/>
      <c r="F77" s="1592"/>
      <c r="G77" s="1592"/>
      <c r="H77" s="1592"/>
      <c r="I77" s="1592"/>
      <c r="J77" s="1592"/>
      <c r="K77" s="1592"/>
      <c r="L77" s="1592"/>
      <c r="M77" s="1592"/>
      <c r="O77" s="136" t="s">
        <v>1881</v>
      </c>
      <c r="P77" s="3116"/>
      <c r="Q77" s="3117"/>
    </row>
    <row r="78" spans="1:295" ht="1.5" customHeight="1"/>
    <row r="79" spans="1:295" ht="10.5" customHeight="1">
      <c r="A79" s="146" t="s">
        <v>1999</v>
      </c>
      <c r="B79" s="405" t="s">
        <v>3769</v>
      </c>
      <c r="D79" s="1003"/>
      <c r="E79" s="1003"/>
      <c r="F79" s="1003"/>
      <c r="G79" s="1003"/>
      <c r="H79" s="1003"/>
      <c r="I79" s="1003"/>
      <c r="K79" s="1003"/>
      <c r="L79" s="1003"/>
      <c r="M79" s="1004" t="s">
        <v>3723</v>
      </c>
      <c r="O79" s="147"/>
      <c r="P79" s="2210" t="s">
        <v>4599</v>
      </c>
    </row>
    <row r="80" spans="1:295" ht="10.5" customHeight="1">
      <c r="A80" s="48" t="s">
        <v>2001</v>
      </c>
      <c r="B80" s="956" t="s">
        <v>3768</v>
      </c>
      <c r="D80" s="956"/>
      <c r="E80" s="956"/>
      <c r="F80" s="956"/>
      <c r="G80" s="956"/>
      <c r="H80" s="956"/>
      <c r="I80" s="956"/>
      <c r="J80" s="956"/>
      <c r="K80" s="956"/>
      <c r="L80" s="956"/>
      <c r="M80" s="956"/>
      <c r="O80" s="956"/>
      <c r="P80" s="956"/>
      <c r="Q80" s="956"/>
    </row>
    <row r="81" spans="1:31" ht="10.9" customHeight="1">
      <c r="A81" s="148"/>
      <c r="B81" s="68" t="s">
        <v>1750</v>
      </c>
      <c r="C81" s="956" t="s">
        <v>3506</v>
      </c>
      <c r="E81" s="1594"/>
      <c r="F81" s="1594"/>
      <c r="G81" s="1594"/>
      <c r="H81" s="34"/>
      <c r="I81" s="37" t="s">
        <v>2723</v>
      </c>
      <c r="J81" s="3173" t="s">
        <v>4597</v>
      </c>
      <c r="K81" s="3174"/>
      <c r="L81" s="3174"/>
      <c r="M81" s="3174"/>
      <c r="N81" s="3174"/>
      <c r="O81" s="3174"/>
      <c r="P81" s="3174"/>
      <c r="Q81" s="3175"/>
    </row>
    <row r="82" spans="1:31" ht="10.9" customHeight="1">
      <c r="A82" s="148"/>
      <c r="B82" s="68" t="s">
        <v>1751</v>
      </c>
      <c r="C82" s="956" t="s">
        <v>3604</v>
      </c>
      <c r="E82" s="1594"/>
      <c r="F82" s="1594"/>
      <c r="G82" s="1594"/>
      <c r="H82" s="34"/>
      <c r="I82" s="37" t="s">
        <v>2723</v>
      </c>
      <c r="J82" s="3176" t="s">
        <v>4598</v>
      </c>
      <c r="K82" s="3177"/>
      <c r="L82" s="3177"/>
      <c r="M82" s="3177"/>
      <c r="N82" s="3177"/>
      <c r="O82" s="3177"/>
      <c r="P82" s="3177"/>
      <c r="Q82" s="3178"/>
    </row>
    <row r="83" spans="1:31" ht="10.9" customHeight="1">
      <c r="A83" s="148"/>
      <c r="B83" s="68" t="s">
        <v>1752</v>
      </c>
      <c r="C83" s="956" t="s">
        <v>3605</v>
      </c>
      <c r="E83" s="1594"/>
      <c r="F83" s="1594"/>
      <c r="G83" s="1594"/>
      <c r="H83" s="34"/>
      <c r="I83" s="37" t="s">
        <v>2723</v>
      </c>
      <c r="J83" s="3176" t="s">
        <v>4725</v>
      </c>
      <c r="K83" s="3177"/>
      <c r="L83" s="3177"/>
      <c r="M83" s="3177"/>
      <c r="N83" s="3177"/>
      <c r="O83" s="3177"/>
      <c r="P83" s="3177"/>
      <c r="Q83" s="3178"/>
    </row>
    <row r="84" spans="1:31" ht="10.9" customHeight="1">
      <c r="A84" s="148"/>
      <c r="B84" s="484" t="s">
        <v>2381</v>
      </c>
      <c r="C84" s="956" t="s">
        <v>3932</v>
      </c>
      <c r="E84" s="1594"/>
      <c r="I84" s="37" t="s">
        <v>2723</v>
      </c>
      <c r="J84" s="3179"/>
      <c r="K84" s="3180"/>
      <c r="L84" s="3180"/>
      <c r="M84" s="3180"/>
      <c r="N84" s="3180"/>
      <c r="O84" s="3180"/>
      <c r="P84" s="3180"/>
      <c r="Q84" s="3181"/>
    </row>
    <row r="85" spans="1:31" ht="10.9" customHeight="1">
      <c r="A85" s="48" t="s">
        <v>757</v>
      </c>
      <c r="B85" s="41" t="s">
        <v>3590</v>
      </c>
      <c r="D85" s="956"/>
      <c r="E85" s="1594"/>
      <c r="J85" s="37"/>
      <c r="K85" s="37"/>
      <c r="L85" s="37"/>
      <c r="M85" s="37"/>
      <c r="N85" s="37"/>
      <c r="O85" s="37"/>
      <c r="P85" s="37"/>
      <c r="Q85" s="37"/>
    </row>
    <row r="86" spans="1:31" ht="10.9" customHeight="1">
      <c r="A86" s="148"/>
      <c r="B86" s="56" t="s">
        <v>3923</v>
      </c>
      <c r="D86" s="138"/>
      <c r="E86" s="138"/>
      <c r="F86" s="138"/>
      <c r="G86" s="138"/>
      <c r="H86" s="138"/>
      <c r="I86" s="43"/>
      <c r="J86" s="43"/>
      <c r="K86" s="484" t="s">
        <v>757</v>
      </c>
      <c r="L86" s="3182" t="s">
        <v>4600</v>
      </c>
      <c r="M86" s="3183"/>
      <c r="N86" s="3183"/>
      <c r="O86" s="3183"/>
      <c r="P86" s="3184"/>
      <c r="Q86" s="560"/>
    </row>
    <row r="87" spans="1:31" ht="10.5" customHeight="1">
      <c r="B87" s="98" t="s">
        <v>3779</v>
      </c>
      <c r="D87" s="98"/>
      <c r="E87" s="98"/>
      <c r="F87" s="98"/>
      <c r="G87" s="98"/>
      <c r="H87" s="41"/>
      <c r="I87" s="1589"/>
      <c r="J87" s="1589"/>
      <c r="K87" s="141" t="s">
        <v>1880</v>
      </c>
      <c r="L87" s="1585"/>
      <c r="M87" s="1585"/>
      <c r="N87" s="1585"/>
      <c r="O87" s="1585"/>
      <c r="P87" s="1585"/>
      <c r="Q87" s="955"/>
    </row>
    <row r="88" spans="1:31" ht="38.450000000000003" customHeight="1">
      <c r="A88" s="3100" t="s">
        <v>4726</v>
      </c>
      <c r="B88" s="3101"/>
      <c r="C88" s="3101"/>
      <c r="D88" s="3101"/>
      <c r="E88" s="3101"/>
      <c r="F88" s="3101"/>
      <c r="G88" s="3101"/>
      <c r="H88" s="3101"/>
      <c r="I88" s="3101"/>
      <c r="J88" s="3102"/>
      <c r="K88" s="3159"/>
      <c r="L88" s="3160"/>
      <c r="M88" s="3160"/>
      <c r="N88" s="3160"/>
      <c r="O88" s="3160"/>
      <c r="P88" s="3160"/>
      <c r="Q88" s="3161"/>
      <c r="R88" s="461" t="s">
        <v>1266</v>
      </c>
      <c r="U88" s="140"/>
      <c r="V88" s="140"/>
      <c r="W88" s="140"/>
      <c r="X88" s="140"/>
      <c r="Y88" s="140"/>
      <c r="Z88" s="140"/>
      <c r="AA88" s="140"/>
      <c r="AB88" s="140"/>
      <c r="AC88" s="140"/>
      <c r="AD88" s="140"/>
      <c r="AE88" s="486"/>
    </row>
    <row r="89" spans="1:31" ht="3" customHeight="1">
      <c r="A89" s="1585"/>
      <c r="B89" s="1589"/>
      <c r="C89" s="1592"/>
      <c r="D89" s="1592"/>
      <c r="E89" s="1592"/>
      <c r="F89" s="1592"/>
      <c r="G89" s="1592"/>
      <c r="H89" s="1592"/>
      <c r="I89" s="1592"/>
      <c r="J89" s="1592"/>
      <c r="K89" s="1592"/>
      <c r="L89" s="1592"/>
      <c r="M89" s="1592"/>
      <c r="N89" s="1592"/>
      <c r="O89" s="1592"/>
      <c r="P89" s="1592"/>
      <c r="Q89" s="1585"/>
    </row>
    <row r="90" spans="1:31" ht="13.9" customHeight="1">
      <c r="A90" s="1586" t="s">
        <v>1807</v>
      </c>
      <c r="B90" s="1586" t="s">
        <v>2670</v>
      </c>
      <c r="C90" s="1586"/>
      <c r="D90" s="1592"/>
      <c r="E90" s="1592"/>
      <c r="F90" s="1592"/>
      <c r="G90" s="1592"/>
      <c r="H90" s="1592"/>
      <c r="I90" s="1592"/>
      <c r="J90" s="1592"/>
      <c r="K90" s="1592"/>
      <c r="O90" s="136" t="s">
        <v>1881</v>
      </c>
      <c r="P90" s="3116"/>
      <c r="Q90" s="3117"/>
    </row>
    <row r="91" spans="1:31" ht="3" customHeight="1"/>
    <row r="92" spans="1:31" ht="10.5" customHeight="1">
      <c r="A92" s="48" t="s">
        <v>1999</v>
      </c>
      <c r="B92" s="149" t="s">
        <v>2476</v>
      </c>
      <c r="D92" s="138"/>
      <c r="E92" s="138"/>
      <c r="F92" s="138"/>
      <c r="G92" s="138"/>
      <c r="H92" s="138"/>
      <c r="I92" s="43"/>
      <c r="J92" s="43"/>
      <c r="K92" s="43"/>
      <c r="L92" s="484" t="s">
        <v>1999</v>
      </c>
      <c r="M92" s="3162" t="s">
        <v>4634</v>
      </c>
      <c r="N92" s="3163"/>
      <c r="O92" s="3163"/>
      <c r="P92" s="3164"/>
      <c r="Q92" s="561"/>
    </row>
    <row r="93" spans="1:31" ht="10.5" customHeight="1">
      <c r="A93" s="48" t="s">
        <v>2001</v>
      </c>
      <c r="B93" s="53" t="s">
        <v>2052</v>
      </c>
      <c r="D93" s="138"/>
      <c r="E93" s="138"/>
      <c r="F93" s="138"/>
      <c r="L93" s="484" t="s">
        <v>2001</v>
      </c>
      <c r="M93" s="3165" t="s">
        <v>4635</v>
      </c>
      <c r="N93" s="3166"/>
      <c r="O93" s="3166"/>
      <c r="P93" s="3167"/>
      <c r="Q93" s="562"/>
    </row>
    <row r="94" spans="1:31" ht="10.5" customHeight="1">
      <c r="A94" s="48" t="s">
        <v>757</v>
      </c>
      <c r="B94" s="53" t="s">
        <v>2897</v>
      </c>
      <c r="D94" s="138"/>
      <c r="E94" s="138"/>
      <c r="F94" s="138"/>
      <c r="L94" s="484" t="s">
        <v>757</v>
      </c>
      <c r="M94" s="3168">
        <v>0.98299999999999998</v>
      </c>
      <c r="N94" s="3169"/>
      <c r="O94" s="3169"/>
      <c r="P94" s="3170"/>
      <c r="Q94" s="562"/>
    </row>
    <row r="95" spans="1:31" ht="10.5" customHeight="1">
      <c r="A95" s="48" t="s">
        <v>2131</v>
      </c>
      <c r="B95" s="53" t="s">
        <v>3925</v>
      </c>
      <c r="D95" s="138"/>
      <c r="E95" s="138"/>
      <c r="F95" s="138"/>
      <c r="L95" s="484" t="s">
        <v>3926</v>
      </c>
      <c r="M95" s="2258">
        <v>1.7000000000000001E-2</v>
      </c>
      <c r="N95" s="1205"/>
      <c r="O95" s="1206" t="s">
        <v>4175</v>
      </c>
      <c r="P95" s="2259" t="s">
        <v>1746</v>
      </c>
      <c r="Q95" s="563"/>
    </row>
    <row r="96" spans="1:31" ht="10.5" customHeight="1">
      <c r="A96" s="146" t="s">
        <v>1748</v>
      </c>
      <c r="B96" s="144" t="s">
        <v>3924</v>
      </c>
      <c r="D96" s="144"/>
      <c r="E96" s="144"/>
      <c r="F96" s="144"/>
      <c r="G96" s="144"/>
      <c r="H96" s="144"/>
      <c r="I96" s="144"/>
      <c r="J96" s="144"/>
      <c r="K96" s="144"/>
      <c r="L96" s="144"/>
      <c r="M96" s="144"/>
      <c r="N96" s="144"/>
      <c r="O96" s="144"/>
      <c r="P96" s="144"/>
      <c r="Q96" s="144"/>
    </row>
    <row r="97" spans="1:31" ht="10.5" customHeight="1">
      <c r="B97" s="48"/>
      <c r="C97" s="53"/>
      <c r="D97" s="1593" t="s">
        <v>2394</v>
      </c>
      <c r="E97" s="956" t="s">
        <v>623</v>
      </c>
      <c r="F97" s="956"/>
      <c r="H97" s="53"/>
      <c r="I97" s="1593" t="s">
        <v>2394</v>
      </c>
      <c r="J97" s="956" t="s">
        <v>623</v>
      </c>
      <c r="K97" s="956"/>
      <c r="M97" s="53"/>
      <c r="N97" s="1593" t="s">
        <v>2394</v>
      </c>
      <c r="O97" s="956" t="s">
        <v>623</v>
      </c>
      <c r="P97" s="956"/>
      <c r="Q97" s="484"/>
    </row>
    <row r="98" spans="1:31" ht="10.5" customHeight="1">
      <c r="C98" s="68" t="s">
        <v>1750</v>
      </c>
      <c r="D98" s="2260" t="s">
        <v>4636</v>
      </c>
      <c r="E98" s="3195" t="s">
        <v>4637</v>
      </c>
      <c r="F98" s="3195"/>
      <c r="G98" s="3195"/>
      <c r="H98" s="68" t="s">
        <v>1752</v>
      </c>
      <c r="I98" s="2260" t="s">
        <v>4640</v>
      </c>
      <c r="J98" s="3195" t="s">
        <v>4641</v>
      </c>
      <c r="K98" s="3195"/>
      <c r="L98" s="3195"/>
      <c r="M98" s="67" t="s">
        <v>1561</v>
      </c>
      <c r="N98" s="2260"/>
      <c r="O98" s="3195"/>
      <c r="P98" s="3195"/>
      <c r="Q98" s="3195"/>
    </row>
    <row r="99" spans="1:31" ht="10.5" customHeight="1">
      <c r="C99" s="68" t="s">
        <v>1751</v>
      </c>
      <c r="D99" s="2261" t="s">
        <v>4638</v>
      </c>
      <c r="E99" s="3196" t="s">
        <v>4639</v>
      </c>
      <c r="F99" s="3196"/>
      <c r="G99" s="3196"/>
      <c r="H99" s="484" t="s">
        <v>2381</v>
      </c>
      <c r="I99" s="2261" t="s">
        <v>4642</v>
      </c>
      <c r="J99" s="3196" t="s">
        <v>4643</v>
      </c>
      <c r="K99" s="3196"/>
      <c r="L99" s="3196"/>
      <c r="M99" s="67" t="s">
        <v>1562</v>
      </c>
      <c r="N99" s="2261"/>
      <c r="O99" s="3196"/>
      <c r="P99" s="3196"/>
      <c r="Q99" s="3196"/>
    </row>
    <row r="100" spans="1:31" ht="10.5" customHeight="1">
      <c r="A100" s="48" t="s">
        <v>1749</v>
      </c>
      <c r="B100" s="53" t="s">
        <v>0</v>
      </c>
      <c r="D100" s="138"/>
      <c r="E100" s="138"/>
      <c r="F100" s="138"/>
      <c r="G100" s="138"/>
      <c r="H100" s="138"/>
      <c r="I100" s="43"/>
      <c r="J100" s="43"/>
      <c r="K100" s="138"/>
      <c r="L100" s="1594"/>
      <c r="M100" s="1594"/>
      <c r="O100" s="484" t="s">
        <v>1749</v>
      </c>
      <c r="P100" s="2207" t="s">
        <v>3010</v>
      </c>
      <c r="Q100" s="566"/>
    </row>
    <row r="101" spans="1:31" s="28" customFormat="1" ht="11.45" customHeight="1">
      <c r="A101" s="170" t="s">
        <v>1683</v>
      </c>
      <c r="E101" s="120"/>
      <c r="M101" s="400"/>
      <c r="O101" s="391"/>
      <c r="Q101" s="1297" t="s">
        <v>2527</v>
      </c>
      <c r="R101" s="951"/>
      <c r="S101" s="1355"/>
      <c r="T101" s="1169"/>
      <c r="U101" s="1169"/>
      <c r="V101" s="1169"/>
      <c r="W101" s="1169"/>
    </row>
    <row r="102" spans="1:31" s="406" customFormat="1" ht="21.75" customHeight="1">
      <c r="A102" s="146" t="s">
        <v>1962</v>
      </c>
      <c r="B102" s="3197" t="s">
        <v>3638</v>
      </c>
      <c r="C102" s="3197"/>
      <c r="D102" s="3197"/>
      <c r="E102" s="3197"/>
      <c r="F102" s="3197"/>
      <c r="G102" s="3197"/>
      <c r="H102" s="3197"/>
      <c r="I102" s="3197"/>
      <c r="J102" s="3197"/>
      <c r="K102" s="3197"/>
      <c r="L102" s="3197"/>
      <c r="M102" s="3197"/>
      <c r="N102" s="3197"/>
      <c r="O102" s="3197"/>
      <c r="P102" s="166" t="s">
        <v>1962</v>
      </c>
      <c r="Q102" s="1261"/>
      <c r="R102" s="952"/>
    </row>
    <row r="103" spans="1:31" s="406" customFormat="1" ht="21.75" customHeight="1">
      <c r="A103" s="146" t="s">
        <v>3391</v>
      </c>
      <c r="B103" s="3197" t="s">
        <v>2748</v>
      </c>
      <c r="C103" s="3197"/>
      <c r="D103" s="3197"/>
      <c r="E103" s="3197"/>
      <c r="F103" s="3197"/>
      <c r="G103" s="3197"/>
      <c r="H103" s="3197"/>
      <c r="I103" s="3197"/>
      <c r="J103" s="3197"/>
      <c r="K103" s="3197"/>
      <c r="L103" s="3197"/>
      <c r="M103" s="3197"/>
      <c r="N103" s="3197"/>
      <c r="O103" s="3197"/>
      <c r="P103" s="166" t="s">
        <v>3391</v>
      </c>
      <c r="Q103" s="564"/>
      <c r="R103" s="952"/>
    </row>
    <row r="104" spans="1:31" s="406" customFormat="1" ht="9.75" customHeight="1">
      <c r="A104" s="146" t="s">
        <v>622</v>
      </c>
      <c r="B104" s="221" t="s">
        <v>1684</v>
      </c>
      <c r="L104" s="452"/>
      <c r="N104" s="391"/>
      <c r="P104" s="67" t="s">
        <v>622</v>
      </c>
      <c r="Q104" s="564"/>
      <c r="R104" s="1355"/>
    </row>
    <row r="105" spans="1:31" s="406" customFormat="1" ht="9.75" customHeight="1">
      <c r="A105" s="146" t="s">
        <v>3392</v>
      </c>
      <c r="B105" s="144" t="s">
        <v>3639</v>
      </c>
      <c r="L105" s="452"/>
      <c r="N105" s="391"/>
      <c r="P105" s="67" t="s">
        <v>3392</v>
      </c>
      <c r="Q105" s="1282"/>
      <c r="R105" s="1355"/>
    </row>
    <row r="106" spans="1:31" ht="9.75" customHeight="1">
      <c r="B106" s="145" t="s">
        <v>3779</v>
      </c>
      <c r="D106" s="145"/>
      <c r="E106" s="145"/>
      <c r="F106" s="145"/>
      <c r="G106" s="145"/>
      <c r="H106" s="41"/>
      <c r="I106" s="1589"/>
      <c r="J106" s="1589"/>
      <c r="K106" s="1589"/>
      <c r="L106" s="1585"/>
      <c r="M106" s="1585"/>
      <c r="N106" s="1585"/>
      <c r="O106" s="1585"/>
      <c r="P106" s="1585"/>
      <c r="Q106" s="955"/>
    </row>
    <row r="107" spans="1:31" ht="125.45" customHeight="1">
      <c r="A107" s="3100" t="s">
        <v>4663</v>
      </c>
      <c r="B107" s="3101"/>
      <c r="C107" s="3101"/>
      <c r="D107" s="3101"/>
      <c r="E107" s="3101"/>
      <c r="F107" s="3101"/>
      <c r="G107" s="3101"/>
      <c r="H107" s="3101"/>
      <c r="I107" s="3101"/>
      <c r="J107" s="3101"/>
      <c r="K107" s="3101"/>
      <c r="L107" s="3101"/>
      <c r="M107" s="3101"/>
      <c r="N107" s="3101"/>
      <c r="O107" s="3101"/>
      <c r="P107" s="3101"/>
      <c r="Q107" s="3102"/>
      <c r="U107" s="140"/>
      <c r="V107" s="140"/>
      <c r="W107" s="140"/>
      <c r="X107" s="140"/>
      <c r="Y107" s="140"/>
      <c r="Z107" s="140"/>
      <c r="AA107" s="140"/>
      <c r="AB107" s="140"/>
      <c r="AC107" s="140"/>
      <c r="AD107" s="140"/>
      <c r="AE107" s="486"/>
    </row>
    <row r="108" spans="1:31" ht="9.75" customHeight="1">
      <c r="B108" s="141" t="s">
        <v>1880</v>
      </c>
      <c r="C108" s="142"/>
      <c r="D108" s="1592"/>
      <c r="E108" s="1592"/>
      <c r="F108" s="1592"/>
      <c r="G108" s="1592"/>
      <c r="H108" s="1592"/>
      <c r="I108" s="1592"/>
      <c r="J108" s="1592"/>
      <c r="K108" s="1592"/>
      <c r="L108" s="1592"/>
      <c r="M108" s="1592"/>
      <c r="N108" s="1592"/>
      <c r="O108" s="1592"/>
      <c r="P108" s="1592"/>
      <c r="Q108" s="1592"/>
    </row>
    <row r="109" spans="1:31" ht="44.25" customHeight="1">
      <c r="A109" s="3159"/>
      <c r="B109" s="3160"/>
      <c r="C109" s="3160"/>
      <c r="D109" s="3160"/>
      <c r="E109" s="3160"/>
      <c r="F109" s="3160"/>
      <c r="G109" s="3160"/>
      <c r="H109" s="3160"/>
      <c r="I109" s="3160"/>
      <c r="J109" s="3160"/>
      <c r="K109" s="3160"/>
      <c r="L109" s="3160"/>
      <c r="M109" s="3160"/>
      <c r="N109" s="3160"/>
      <c r="O109" s="3160"/>
      <c r="P109" s="3160"/>
      <c r="Q109" s="3161"/>
    </row>
    <row r="110" spans="1:31" ht="13.9" customHeight="1">
      <c r="A110" s="1586" t="s">
        <v>535</v>
      </c>
      <c r="B110" s="1586" t="s">
        <v>2671</v>
      </c>
      <c r="C110" s="1586"/>
      <c r="D110" s="1592"/>
      <c r="E110" s="1592"/>
      <c r="F110" s="1592"/>
      <c r="G110" s="1592"/>
      <c r="H110" s="1592"/>
      <c r="I110" s="1592"/>
      <c r="J110" s="1592"/>
      <c r="K110" s="1592"/>
      <c r="L110" s="1592"/>
      <c r="M110" s="1592"/>
      <c r="O110" s="136" t="s">
        <v>1881</v>
      </c>
      <c r="P110" s="3116"/>
      <c r="Q110" s="3117"/>
    </row>
    <row r="111" spans="1:31" ht="3" customHeight="1"/>
    <row r="112" spans="1:31" ht="10.5" customHeight="1">
      <c r="A112" s="48" t="s">
        <v>1999</v>
      </c>
      <c r="B112" s="53" t="s">
        <v>498</v>
      </c>
      <c r="C112" s="53"/>
      <c r="E112" s="53"/>
      <c r="F112" s="53"/>
      <c r="G112" s="53"/>
      <c r="H112" s="53"/>
      <c r="I112" s="53"/>
      <c r="J112" s="53"/>
      <c r="K112" s="53"/>
      <c r="L112" s="53"/>
      <c r="M112" s="53"/>
      <c r="O112" s="484" t="s">
        <v>1999</v>
      </c>
      <c r="P112" s="2193" t="s">
        <v>3010</v>
      </c>
      <c r="Q112" s="561"/>
    </row>
    <row r="113" spans="1:32" ht="10.5" customHeight="1">
      <c r="A113" s="48" t="s">
        <v>2001</v>
      </c>
      <c r="B113" s="53" t="s">
        <v>1316</v>
      </c>
      <c r="C113" s="53"/>
      <c r="E113" s="53"/>
      <c r="F113" s="53"/>
      <c r="G113" s="53"/>
      <c r="H113" s="53"/>
      <c r="I113" s="53"/>
      <c r="J113" s="53"/>
      <c r="K113" s="53"/>
      <c r="L113" s="956"/>
      <c r="M113" s="956"/>
      <c r="O113" s="484" t="s">
        <v>2001</v>
      </c>
      <c r="P113" s="2192" t="s">
        <v>3010</v>
      </c>
      <c r="Q113" s="562"/>
    </row>
    <row r="114" spans="1:32" ht="10.5" customHeight="1">
      <c r="A114" s="37"/>
      <c r="C114" s="40" t="s">
        <v>559</v>
      </c>
      <c r="E114" s="43"/>
      <c r="F114" s="43"/>
      <c r="G114" s="43"/>
      <c r="H114" s="43"/>
      <c r="I114" s="43"/>
      <c r="L114" s="68" t="s">
        <v>560</v>
      </c>
      <c r="M114" s="3182" t="s">
        <v>4644</v>
      </c>
      <c r="N114" s="3183"/>
      <c r="O114" s="3183"/>
      <c r="P114" s="3194"/>
      <c r="Q114" s="562"/>
    </row>
    <row r="115" spans="1:32" ht="10.5" customHeight="1">
      <c r="A115" s="1589"/>
      <c r="B115" s="154" t="s">
        <v>1750</v>
      </c>
      <c r="C115" s="956" t="s">
        <v>3493</v>
      </c>
      <c r="D115" s="1100"/>
      <c r="E115" s="1100"/>
      <c r="F115" s="1100"/>
      <c r="G115" s="1100"/>
      <c r="H115" s="1100"/>
      <c r="I115" s="1100"/>
      <c r="J115" s="1100"/>
      <c r="K115" s="1100"/>
      <c r="L115" s="1100"/>
      <c r="M115" s="1100"/>
      <c r="O115" s="154" t="s">
        <v>1750</v>
      </c>
      <c r="P115" s="2193" t="s">
        <v>3010</v>
      </c>
      <c r="Q115" s="562"/>
    </row>
    <row r="116" spans="1:32" ht="10.5" customHeight="1">
      <c r="A116" s="1589"/>
      <c r="B116" s="68" t="s">
        <v>1751</v>
      </c>
      <c r="C116" s="956" t="s">
        <v>3494</v>
      </c>
      <c r="D116" s="1100"/>
      <c r="E116" s="1100"/>
      <c r="F116" s="1100"/>
      <c r="G116" s="1100"/>
      <c r="H116" s="1100"/>
      <c r="I116" s="1100"/>
      <c r="J116" s="1100"/>
      <c r="K116" s="1100"/>
      <c r="L116" s="1100"/>
      <c r="M116" s="1100"/>
      <c r="O116" s="68" t="s">
        <v>1751</v>
      </c>
      <c r="P116" s="2196" t="s">
        <v>3013</v>
      </c>
      <c r="Q116" s="562"/>
    </row>
    <row r="117" spans="1:32" ht="10.5" customHeight="1">
      <c r="A117" s="1589"/>
      <c r="B117" s="154" t="s">
        <v>1752</v>
      </c>
      <c r="C117" s="956" t="s">
        <v>2898</v>
      </c>
      <c r="D117" s="956"/>
      <c r="E117" s="956"/>
      <c r="F117" s="956"/>
      <c r="G117" s="956"/>
      <c r="H117" s="956"/>
      <c r="I117" s="956"/>
      <c r="J117" s="956"/>
      <c r="K117" s="956"/>
      <c r="L117" s="956"/>
      <c r="M117" s="1283"/>
      <c r="O117" s="154" t="s">
        <v>1752</v>
      </c>
      <c r="P117" s="2196" t="s">
        <v>3010</v>
      </c>
      <c r="Q117" s="562"/>
    </row>
    <row r="118" spans="1:32" s="137" customFormat="1" ht="24.75" customHeight="1">
      <c r="A118" s="449"/>
      <c r="B118" s="166" t="s">
        <v>2381</v>
      </c>
      <c r="C118" s="3198" t="s">
        <v>2706</v>
      </c>
      <c r="D118" s="3198"/>
      <c r="E118" s="3198"/>
      <c r="F118" s="3198"/>
      <c r="G118" s="3198"/>
      <c r="H118" s="3198"/>
      <c r="I118" s="3198"/>
      <c r="J118" s="3198"/>
      <c r="K118" s="3198"/>
      <c r="L118" s="3198"/>
      <c r="M118" s="3198"/>
      <c r="N118" s="3198"/>
      <c r="O118" s="166" t="s">
        <v>2381</v>
      </c>
      <c r="P118" s="2262"/>
      <c r="Q118" s="564"/>
      <c r="AE118" s="487"/>
      <c r="AF118" s="487"/>
    </row>
    <row r="119" spans="1:32" ht="10.5" customHeight="1">
      <c r="A119" s="48" t="s">
        <v>757</v>
      </c>
      <c r="B119" s="53" t="s">
        <v>147</v>
      </c>
      <c r="D119" s="53"/>
      <c r="E119" s="53"/>
      <c r="F119" s="53"/>
      <c r="G119" s="53"/>
      <c r="H119" s="53"/>
      <c r="I119" s="53"/>
      <c r="J119" s="53"/>
      <c r="K119" s="53"/>
      <c r="L119" s="53"/>
      <c r="M119" s="53"/>
      <c r="O119" s="484" t="s">
        <v>757</v>
      </c>
      <c r="P119" s="2192" t="s">
        <v>3013</v>
      </c>
      <c r="Q119" s="563"/>
    </row>
    <row r="120" spans="1:32" ht="10.5" customHeight="1">
      <c r="A120" s="48" t="s">
        <v>2131</v>
      </c>
      <c r="B120" s="53" t="s">
        <v>1440</v>
      </c>
      <c r="D120" s="53"/>
      <c r="E120" s="53"/>
      <c r="G120" s="53"/>
      <c r="I120" s="53"/>
      <c r="K120" s="53"/>
      <c r="L120" s="956"/>
      <c r="M120" s="956"/>
      <c r="N120" s="956"/>
      <c r="O120" s="484" t="s">
        <v>2131</v>
      </c>
      <c r="P120" s="956"/>
      <c r="Q120" s="956"/>
    </row>
    <row r="121" spans="1:32" ht="10.5" customHeight="1">
      <c r="B121" s="68" t="s">
        <v>1750</v>
      </c>
      <c r="C121" s="53" t="s">
        <v>1441</v>
      </c>
      <c r="E121" s="53"/>
      <c r="F121" s="53"/>
      <c r="G121" s="53"/>
      <c r="H121" s="53"/>
      <c r="I121" s="53"/>
      <c r="J121" s="53"/>
      <c r="K121" s="53"/>
      <c r="L121" s="956"/>
      <c r="M121" s="956"/>
      <c r="O121" s="68" t="s">
        <v>1750</v>
      </c>
      <c r="P121" s="2193" t="s">
        <v>3010</v>
      </c>
      <c r="Q121" s="561"/>
    </row>
    <row r="122" spans="1:32" ht="10.5" customHeight="1">
      <c r="B122" s="68" t="s">
        <v>1751</v>
      </c>
      <c r="C122" s="53" t="s">
        <v>1442</v>
      </c>
      <c r="E122" s="53"/>
      <c r="F122" s="53"/>
      <c r="G122" s="53"/>
      <c r="H122" s="53"/>
      <c r="I122" s="53"/>
      <c r="J122" s="53"/>
      <c r="K122" s="53"/>
      <c r="L122" s="956"/>
      <c r="M122" s="956"/>
      <c r="O122" s="68" t="s">
        <v>1751</v>
      </c>
      <c r="P122" s="2196" t="s">
        <v>3010</v>
      </c>
      <c r="Q122" s="562"/>
    </row>
    <row r="123" spans="1:32" ht="10.5" customHeight="1">
      <c r="B123" s="68" t="s">
        <v>1752</v>
      </c>
      <c r="C123" s="53" t="s">
        <v>1443</v>
      </c>
      <c r="E123" s="53"/>
      <c r="F123" s="53"/>
      <c r="G123" s="53"/>
      <c r="H123" s="53"/>
      <c r="I123" s="53"/>
      <c r="J123" s="53"/>
      <c r="K123" s="53"/>
      <c r="L123" s="956"/>
      <c r="M123" s="956"/>
      <c r="O123" s="68" t="s">
        <v>1752</v>
      </c>
      <c r="P123" s="2192" t="s">
        <v>3010</v>
      </c>
      <c r="Q123" s="563"/>
    </row>
    <row r="124" spans="1:32" ht="10.5" customHeight="1">
      <c r="B124" s="145" t="s">
        <v>3779</v>
      </c>
      <c r="D124" s="145"/>
      <c r="E124" s="145"/>
      <c r="F124" s="145"/>
      <c r="G124" s="145"/>
      <c r="H124" s="41"/>
      <c r="I124" s="1589"/>
      <c r="J124" s="1589"/>
      <c r="K124" s="1589"/>
      <c r="L124" s="1585"/>
      <c r="M124" s="1585"/>
      <c r="N124" s="1585"/>
      <c r="O124" s="1585"/>
      <c r="P124" s="1585"/>
      <c r="Q124" s="955"/>
    </row>
    <row r="125" spans="1:32" ht="46.15" customHeight="1">
      <c r="A125" s="3100" t="s">
        <v>4664</v>
      </c>
      <c r="B125" s="3101"/>
      <c r="C125" s="3101"/>
      <c r="D125" s="3101"/>
      <c r="E125" s="3101"/>
      <c r="F125" s="3101"/>
      <c r="G125" s="3101"/>
      <c r="H125" s="3101"/>
      <c r="I125" s="3101"/>
      <c r="J125" s="3101"/>
      <c r="K125" s="3101"/>
      <c r="L125" s="3101"/>
      <c r="M125" s="3101"/>
      <c r="N125" s="3101"/>
      <c r="O125" s="3101"/>
      <c r="P125" s="3101"/>
      <c r="Q125" s="3102"/>
      <c r="U125" s="140"/>
      <c r="V125" s="140"/>
      <c r="W125" s="140"/>
      <c r="X125" s="140"/>
      <c r="Y125" s="140"/>
      <c r="Z125" s="140"/>
      <c r="AA125" s="140"/>
      <c r="AB125" s="140"/>
      <c r="AC125" s="140"/>
      <c r="AD125" s="140"/>
      <c r="AE125" s="486"/>
    </row>
    <row r="126" spans="1:32" ht="11.25" customHeight="1">
      <c r="B126" s="141" t="s">
        <v>1880</v>
      </c>
      <c r="C126" s="142"/>
      <c r="D126" s="1592"/>
      <c r="E126" s="1592"/>
      <c r="F126" s="1592"/>
      <c r="G126" s="1592"/>
      <c r="H126" s="1592"/>
      <c r="I126" s="1592"/>
      <c r="J126" s="1592"/>
      <c r="K126" s="1592"/>
      <c r="L126" s="1592"/>
      <c r="M126" s="1592"/>
      <c r="N126" s="1592"/>
      <c r="O126" s="1592"/>
      <c r="P126" s="1592"/>
      <c r="Q126" s="1592"/>
    </row>
    <row r="127" spans="1:32" ht="22.5" customHeight="1">
      <c r="A127" s="3159"/>
      <c r="B127" s="3160"/>
      <c r="C127" s="3160"/>
      <c r="D127" s="3160"/>
      <c r="E127" s="3160"/>
      <c r="F127" s="3160"/>
      <c r="G127" s="3160"/>
      <c r="H127" s="3160"/>
      <c r="I127" s="3160"/>
      <c r="J127" s="3160"/>
      <c r="K127" s="3160"/>
      <c r="L127" s="3160"/>
      <c r="M127" s="3160"/>
      <c r="N127" s="3160"/>
      <c r="O127" s="3160"/>
      <c r="P127" s="3160"/>
      <c r="Q127" s="3161"/>
    </row>
    <row r="128" spans="1:32" ht="13.9" customHeight="1">
      <c r="A128" s="1586" t="s">
        <v>780</v>
      </c>
      <c r="B128" s="1586" t="s">
        <v>2672</v>
      </c>
      <c r="C128" s="41"/>
      <c r="D128" s="1592"/>
      <c r="E128" s="1592"/>
      <c r="F128" s="1592"/>
      <c r="G128" s="1592"/>
      <c r="H128" s="1592"/>
      <c r="I128" s="1592"/>
      <c r="J128" s="1592"/>
      <c r="K128" s="1592"/>
      <c r="L128" s="1592"/>
      <c r="M128" s="1592"/>
      <c r="O128" s="136" t="s">
        <v>1881</v>
      </c>
      <c r="P128" s="3116"/>
      <c r="Q128" s="3117"/>
    </row>
    <row r="129" spans="1:17" ht="6.6" customHeight="1"/>
    <row r="130" spans="1:17" ht="12" customHeight="1">
      <c r="A130" s="48" t="s">
        <v>1999</v>
      </c>
      <c r="B130" s="53" t="s">
        <v>3663</v>
      </c>
      <c r="D130" s="138"/>
      <c r="E130" s="138"/>
      <c r="F130" s="138"/>
      <c r="G130" s="138"/>
      <c r="H130" s="138"/>
      <c r="I130" s="43"/>
      <c r="J130" s="43"/>
      <c r="K130" s="484" t="s">
        <v>1999</v>
      </c>
      <c r="L130" s="3200" t="s">
        <v>4645</v>
      </c>
      <c r="M130" s="3200"/>
      <c r="N130" s="3200"/>
      <c r="O130" s="3200"/>
      <c r="P130" s="3200"/>
      <c r="Q130" s="560"/>
    </row>
    <row r="131" spans="1:17" ht="12" customHeight="1">
      <c r="A131" s="48" t="s">
        <v>2001</v>
      </c>
      <c r="B131" s="53" t="s">
        <v>1550</v>
      </c>
      <c r="D131" s="138"/>
      <c r="E131" s="138"/>
      <c r="F131" s="138"/>
      <c r="G131" s="138"/>
      <c r="H131" s="138"/>
      <c r="I131" s="43"/>
      <c r="J131" s="43"/>
      <c r="K131" s="138"/>
      <c r="L131" s="1594"/>
      <c r="O131" s="484" t="s">
        <v>2001</v>
      </c>
      <c r="P131" s="2208" t="s">
        <v>3013</v>
      </c>
      <c r="Q131" s="1005"/>
    </row>
    <row r="132" spans="1:17" ht="12" customHeight="1">
      <c r="A132" s="48" t="s">
        <v>757</v>
      </c>
      <c r="B132" s="53" t="s">
        <v>152</v>
      </c>
      <c r="D132" s="138"/>
      <c r="E132" s="138"/>
      <c r="F132" s="138"/>
      <c r="G132" s="138"/>
      <c r="H132" s="138"/>
      <c r="I132" s="43"/>
      <c r="J132" s="43"/>
      <c r="K132" s="1594"/>
      <c r="L132" s="1594"/>
      <c r="O132" s="484" t="s">
        <v>757</v>
      </c>
      <c r="P132" s="2192" t="s">
        <v>3010</v>
      </c>
      <c r="Q132" s="962"/>
    </row>
    <row r="133" spans="1:17" ht="12" customHeight="1">
      <c r="A133" s="48"/>
      <c r="B133" s="67" t="s">
        <v>1750</v>
      </c>
      <c r="C133" s="53" t="s">
        <v>2705</v>
      </c>
      <c r="E133" s="138"/>
      <c r="F133" s="138"/>
      <c r="G133" s="138"/>
      <c r="H133" s="138"/>
      <c r="I133" s="43"/>
      <c r="J133" s="43"/>
      <c r="K133" s="68" t="s">
        <v>1750</v>
      </c>
      <c r="L133" s="3200" t="s">
        <v>4645</v>
      </c>
      <c r="M133" s="3200"/>
      <c r="N133" s="3200"/>
      <c r="O133" s="3200"/>
      <c r="P133" s="3200"/>
      <c r="Q133" s="560"/>
    </row>
    <row r="134" spans="1:17" ht="12" customHeight="1">
      <c r="A134" s="143"/>
      <c r="B134" s="68" t="s">
        <v>1751</v>
      </c>
      <c r="C134" s="37" t="s">
        <v>3495</v>
      </c>
      <c r="E134" s="43"/>
      <c r="F134" s="43"/>
      <c r="G134" s="43"/>
      <c r="H134" s="53"/>
      <c r="I134" s="43"/>
      <c r="J134" s="43"/>
      <c r="K134" s="138"/>
      <c r="L134" s="1594"/>
      <c r="M134" s="1594"/>
      <c r="O134" s="484" t="s">
        <v>1751</v>
      </c>
      <c r="P134" s="2207">
        <v>63.3</v>
      </c>
      <c r="Q134" s="566"/>
    </row>
    <row r="135" spans="1:17" ht="12" customHeight="1">
      <c r="A135" s="143"/>
      <c r="B135" s="484" t="s">
        <v>1752</v>
      </c>
      <c r="C135" s="53" t="s">
        <v>4162</v>
      </c>
      <c r="E135" s="43"/>
      <c r="F135" s="43"/>
      <c r="G135" s="43"/>
      <c r="H135" s="53"/>
      <c r="I135" s="43"/>
      <c r="J135" s="43"/>
      <c r="K135" s="138"/>
      <c r="L135" s="1594"/>
      <c r="M135" s="1594"/>
      <c r="N135" s="1594"/>
      <c r="O135" s="1594"/>
    </row>
    <row r="136" spans="1:17" ht="11.45" customHeight="1">
      <c r="A136" s="1585"/>
      <c r="B136" s="68"/>
      <c r="C136" s="3199" t="s">
        <v>4646</v>
      </c>
      <c r="D136" s="3199"/>
      <c r="E136" s="3199"/>
      <c r="F136" s="3199"/>
      <c r="G136" s="3199"/>
      <c r="H136" s="3199"/>
      <c r="I136" s="3199"/>
      <c r="J136" s="3199"/>
      <c r="K136" s="3199"/>
      <c r="L136" s="3199"/>
      <c r="M136" s="3199"/>
      <c r="N136" s="3199"/>
      <c r="O136" s="3199"/>
      <c r="P136" s="3199"/>
      <c r="Q136" s="3199"/>
    </row>
    <row r="137" spans="1:17" ht="12" customHeight="1">
      <c r="A137" s="48" t="s">
        <v>2131</v>
      </c>
      <c r="B137" s="53" t="s">
        <v>1272</v>
      </c>
      <c r="D137" s="138"/>
      <c r="E137" s="138"/>
      <c r="F137" s="138"/>
      <c r="G137" s="138"/>
      <c r="H137" s="138"/>
      <c r="I137" s="43"/>
      <c r="J137" s="43"/>
      <c r="K137" s="138"/>
      <c r="L137" s="1594"/>
      <c r="M137" s="1594"/>
      <c r="N137" s="1594"/>
      <c r="O137" s="484" t="s">
        <v>2131</v>
      </c>
    </row>
    <row r="138" spans="1:17" ht="12" customHeight="1">
      <c r="A138" s="48"/>
      <c r="B138" s="68" t="s">
        <v>1750</v>
      </c>
      <c r="C138" s="53" t="s">
        <v>150</v>
      </c>
      <c r="E138" s="138"/>
      <c r="F138" s="138"/>
      <c r="G138" s="138"/>
      <c r="H138" s="138"/>
      <c r="I138" s="43"/>
      <c r="J138" s="43"/>
      <c r="K138" s="138"/>
      <c r="L138" s="1594"/>
      <c r="M138" s="1594"/>
      <c r="O138" s="68" t="s">
        <v>1750</v>
      </c>
      <c r="P138" s="2193" t="s">
        <v>3013</v>
      </c>
      <c r="Q138" s="561"/>
    </row>
    <row r="139" spans="1:17" ht="12" customHeight="1">
      <c r="A139" s="48"/>
      <c r="B139" s="68" t="s">
        <v>1751</v>
      </c>
      <c r="C139" s="53" t="s">
        <v>1273</v>
      </c>
      <c r="E139" s="138"/>
      <c r="F139" s="138"/>
      <c r="G139" s="138"/>
      <c r="H139" s="43"/>
      <c r="I139" s="43"/>
      <c r="J139" s="43"/>
      <c r="K139" s="138"/>
      <c r="L139" s="1594"/>
      <c r="M139" s="1594"/>
      <c r="O139" s="68" t="s">
        <v>1751</v>
      </c>
      <c r="P139" s="2196" t="s">
        <v>3013</v>
      </c>
      <c r="Q139" s="562"/>
    </row>
    <row r="140" spans="1:17" ht="12" customHeight="1">
      <c r="A140" s="48"/>
      <c r="B140" s="68"/>
      <c r="C140" s="53" t="s">
        <v>2649</v>
      </c>
      <c r="E140" s="484" t="s">
        <v>2451</v>
      </c>
      <c r="F140" s="53" t="s">
        <v>2650</v>
      </c>
      <c r="G140" s="43"/>
      <c r="H140" s="53"/>
      <c r="I140" s="43"/>
      <c r="J140" s="43"/>
      <c r="K140" s="138"/>
      <c r="L140" s="1594"/>
      <c r="M140" s="1594"/>
      <c r="O140" s="484" t="s">
        <v>2451</v>
      </c>
      <c r="P140" s="2263"/>
      <c r="Q140" s="909"/>
    </row>
    <row r="141" spans="1:17" ht="12" customHeight="1">
      <c r="A141" s="48"/>
      <c r="B141" s="68"/>
      <c r="E141" s="484" t="s">
        <v>2452</v>
      </c>
      <c r="F141" s="53" t="s">
        <v>2651</v>
      </c>
      <c r="G141" s="43"/>
      <c r="H141" s="53"/>
      <c r="I141" s="43"/>
      <c r="J141" s="43"/>
      <c r="K141" s="138"/>
      <c r="L141" s="1594"/>
      <c r="M141" s="1594"/>
      <c r="O141" s="484" t="s">
        <v>2452</v>
      </c>
      <c r="P141" s="2196"/>
      <c r="Q141" s="562"/>
    </row>
    <row r="142" spans="1:17" ht="12" customHeight="1">
      <c r="A142" s="48"/>
      <c r="B142" s="68"/>
      <c r="E142" s="484" t="s">
        <v>2453</v>
      </c>
      <c r="F142" s="53" t="s">
        <v>2652</v>
      </c>
      <c r="G142" s="43"/>
      <c r="H142" s="53"/>
      <c r="I142" s="43"/>
      <c r="J142" s="43"/>
      <c r="K142" s="138"/>
      <c r="L142" s="1594"/>
      <c r="M142" s="1594"/>
      <c r="O142" s="484" t="s">
        <v>2453</v>
      </c>
      <c r="P142" s="2196"/>
      <c r="Q142" s="562"/>
    </row>
    <row r="143" spans="1:17" ht="12" customHeight="1">
      <c r="A143" s="48"/>
      <c r="B143" s="68" t="s">
        <v>1752</v>
      </c>
      <c r="C143" s="53" t="s">
        <v>1274</v>
      </c>
      <c r="E143" s="138"/>
      <c r="F143" s="138"/>
      <c r="G143" s="138"/>
      <c r="H143" s="53"/>
      <c r="I143" s="43"/>
      <c r="J143" s="43"/>
      <c r="K143" s="138"/>
      <c r="L143" s="1594"/>
      <c r="M143" s="1594"/>
      <c r="O143" s="68" t="s">
        <v>1752</v>
      </c>
      <c r="P143" s="2196" t="s">
        <v>3013</v>
      </c>
      <c r="Q143" s="562"/>
    </row>
    <row r="144" spans="1:17" ht="12" customHeight="1">
      <c r="A144" s="48"/>
      <c r="B144" s="68"/>
      <c r="C144" s="53" t="s">
        <v>2649</v>
      </c>
      <c r="E144" s="484" t="s">
        <v>2451</v>
      </c>
      <c r="F144" s="53" t="s">
        <v>2653</v>
      </c>
      <c r="G144" s="43"/>
      <c r="H144" s="53"/>
      <c r="I144" s="43"/>
      <c r="J144" s="43"/>
      <c r="K144" s="138"/>
      <c r="L144" s="1594"/>
      <c r="O144" s="484" t="s">
        <v>2451</v>
      </c>
      <c r="P144" s="2263"/>
      <c r="Q144" s="909"/>
    </row>
    <row r="145" spans="1:18" ht="12" customHeight="1">
      <c r="A145" s="48"/>
      <c r="B145" s="68"/>
      <c r="E145" s="484" t="s">
        <v>2452</v>
      </c>
      <c r="F145" s="53" t="s">
        <v>2654</v>
      </c>
      <c r="G145" s="43"/>
      <c r="H145" s="53"/>
      <c r="I145" s="43"/>
      <c r="J145" s="43"/>
      <c r="O145" s="484" t="s">
        <v>2452</v>
      </c>
      <c r="P145" s="2196"/>
      <c r="Q145" s="562"/>
    </row>
    <row r="146" spans="1:18" ht="12" customHeight="1">
      <c r="A146" s="48"/>
      <c r="B146" s="68"/>
      <c r="E146" s="484" t="s">
        <v>2453</v>
      </c>
      <c r="F146" s="53" t="s">
        <v>2652</v>
      </c>
      <c r="G146" s="43"/>
      <c r="H146" s="53"/>
      <c r="I146" s="43"/>
      <c r="J146" s="43"/>
      <c r="O146" s="484" t="s">
        <v>2453</v>
      </c>
      <c r="P146" s="2196"/>
      <c r="Q146" s="562"/>
    </row>
    <row r="147" spans="1:18" ht="12" customHeight="1">
      <c r="A147" s="37"/>
      <c r="B147" s="68" t="s">
        <v>2381</v>
      </c>
      <c r="C147" s="53" t="s">
        <v>2655</v>
      </c>
      <c r="E147" s="138"/>
      <c r="F147" s="138"/>
      <c r="G147" s="138"/>
      <c r="H147" s="138"/>
      <c r="I147" s="43"/>
      <c r="J147" s="43"/>
      <c r="O147" s="68" t="s">
        <v>2381</v>
      </c>
      <c r="P147" s="2192" t="s">
        <v>3013</v>
      </c>
      <c r="Q147" s="563"/>
    </row>
    <row r="148" spans="1:18" ht="12" customHeight="1">
      <c r="A148" s="48" t="s">
        <v>1748</v>
      </c>
      <c r="B148" s="150" t="s">
        <v>2430</v>
      </c>
      <c r="D148" s="138"/>
      <c r="E148" s="138"/>
      <c r="F148" s="138"/>
      <c r="G148" s="138"/>
      <c r="H148" s="138"/>
      <c r="I148" s="43"/>
      <c r="J148" s="43"/>
      <c r="K148" s="138"/>
      <c r="L148" s="1594"/>
      <c r="M148" s="1594"/>
      <c r="N148" s="1594"/>
      <c r="O148" s="1594"/>
      <c r="P148" s="1594"/>
      <c r="Q148" s="1594"/>
    </row>
    <row r="149" spans="1:18" ht="12" customHeight="1">
      <c r="B149" s="68" t="s">
        <v>1750</v>
      </c>
      <c r="C149" s="53" t="s">
        <v>2511</v>
      </c>
      <c r="E149" s="138"/>
      <c r="F149" s="2193" t="s">
        <v>3013</v>
      </c>
      <c r="G149" s="561"/>
      <c r="H149" s="68" t="s">
        <v>1561</v>
      </c>
      <c r="I149" s="56" t="s">
        <v>2657</v>
      </c>
      <c r="L149" s="2193" t="s">
        <v>3013</v>
      </c>
      <c r="M149" s="561"/>
      <c r="N149" s="484" t="s">
        <v>517</v>
      </c>
      <c r="O149" s="53" t="s">
        <v>1564</v>
      </c>
      <c r="P149" s="2193" t="s">
        <v>3013</v>
      </c>
      <c r="Q149" s="561"/>
    </row>
    <row r="150" spans="1:18" ht="12" customHeight="1">
      <c r="A150" s="37"/>
      <c r="B150" s="68" t="s">
        <v>1751</v>
      </c>
      <c r="C150" s="53" t="s">
        <v>2821</v>
      </c>
      <c r="E150" s="138"/>
      <c r="F150" s="2196" t="s">
        <v>3013</v>
      </c>
      <c r="G150" s="562"/>
      <c r="H150" s="68" t="s">
        <v>1562</v>
      </c>
      <c r="I150" s="56" t="s">
        <v>2658</v>
      </c>
      <c r="L150" s="2196" t="s">
        <v>3010</v>
      </c>
      <c r="M150" s="562"/>
      <c r="N150" s="484" t="s">
        <v>518</v>
      </c>
      <c r="O150" s="53" t="s">
        <v>1563</v>
      </c>
      <c r="P150" s="2196" t="s">
        <v>3013</v>
      </c>
      <c r="Q150" s="562"/>
    </row>
    <row r="151" spans="1:18" ht="12" customHeight="1">
      <c r="A151" s="37"/>
      <c r="B151" s="68" t="s">
        <v>1752</v>
      </c>
      <c r="C151" s="53" t="s">
        <v>2656</v>
      </c>
      <c r="E151" s="138"/>
      <c r="F151" s="2196" t="s">
        <v>3013</v>
      </c>
      <c r="G151" s="562"/>
      <c r="H151" s="484" t="s">
        <v>99</v>
      </c>
      <c r="I151" s="56" t="s">
        <v>3875</v>
      </c>
      <c r="L151" s="2196" t="s">
        <v>3013</v>
      </c>
      <c r="M151" s="562"/>
      <c r="N151" s="484" t="s">
        <v>2823</v>
      </c>
      <c r="O151" s="53" t="s">
        <v>1565</v>
      </c>
      <c r="P151" s="2192" t="s">
        <v>3013</v>
      </c>
      <c r="Q151" s="563"/>
    </row>
    <row r="152" spans="1:18" ht="12" customHeight="1">
      <c r="A152" s="37"/>
      <c r="B152" s="68" t="s">
        <v>2381</v>
      </c>
      <c r="C152" s="53" t="s">
        <v>2824</v>
      </c>
      <c r="E152" s="138"/>
      <c r="F152" s="2192" t="s">
        <v>3013</v>
      </c>
      <c r="G152" s="563"/>
      <c r="H152" s="484" t="s">
        <v>516</v>
      </c>
      <c r="I152" s="53" t="s">
        <v>2820</v>
      </c>
      <c r="L152" s="2192" t="s">
        <v>3013</v>
      </c>
      <c r="M152" s="563"/>
      <c r="O152" s="68"/>
    </row>
    <row r="153" spans="1:18" ht="12" customHeight="1">
      <c r="A153" s="37"/>
      <c r="B153" s="484" t="s">
        <v>2912</v>
      </c>
      <c r="C153" s="53" t="s">
        <v>2822</v>
      </c>
      <c r="E153" s="138"/>
      <c r="F153" s="138"/>
      <c r="G153" s="138"/>
      <c r="H153" s="138"/>
      <c r="I153" s="138"/>
      <c r="J153" s="138"/>
      <c r="K153" s="138"/>
      <c r="L153" s="138"/>
      <c r="M153" s="53"/>
      <c r="O153" s="68"/>
      <c r="P153" s="68"/>
    </row>
    <row r="154" spans="1:18" ht="12" customHeight="1">
      <c r="A154" s="37"/>
      <c r="C154" s="3199" t="s">
        <v>979</v>
      </c>
      <c r="D154" s="3199"/>
      <c r="E154" s="3199"/>
      <c r="F154" s="3199"/>
      <c r="G154" s="3199"/>
      <c r="H154" s="3199"/>
      <c r="I154" s="3199"/>
      <c r="J154" s="3199"/>
      <c r="K154" s="3199"/>
      <c r="L154" s="3199"/>
      <c r="M154" s="3199"/>
      <c r="N154" s="3199"/>
      <c r="O154" s="3199"/>
      <c r="P154" s="3199"/>
      <c r="Q154" s="3199"/>
    </row>
    <row r="155" spans="1:18" ht="12" customHeight="1">
      <c r="A155" s="48" t="s">
        <v>1749</v>
      </c>
      <c r="B155" s="53" t="s">
        <v>3593</v>
      </c>
      <c r="D155" s="138"/>
      <c r="E155" s="138"/>
      <c r="F155" s="138"/>
      <c r="G155" s="138"/>
      <c r="H155" s="138"/>
      <c r="I155" s="43"/>
      <c r="J155" s="43"/>
      <c r="K155" s="138"/>
      <c r="L155" s="138"/>
      <c r="M155" s="1594"/>
    </row>
    <row r="156" spans="1:18" ht="12" customHeight="1">
      <c r="A156" s="43"/>
      <c r="B156" s="68" t="s">
        <v>1750</v>
      </c>
      <c r="C156" s="53" t="s">
        <v>2825</v>
      </c>
      <c r="E156" s="138"/>
      <c r="F156" s="138"/>
      <c r="G156" s="138"/>
      <c r="H156" s="138"/>
      <c r="O156" s="68" t="s">
        <v>1750</v>
      </c>
      <c r="P156" s="2193" t="s">
        <v>3013</v>
      </c>
      <c r="Q156" s="561"/>
    </row>
    <row r="157" spans="1:18" ht="12" customHeight="1">
      <c r="A157" s="1589"/>
      <c r="B157" s="68" t="s">
        <v>1751</v>
      </c>
      <c r="C157" s="53" t="s">
        <v>495</v>
      </c>
      <c r="E157" s="53"/>
      <c r="F157" s="53"/>
      <c r="G157" s="53"/>
      <c r="H157" s="53"/>
      <c r="I157" s="43"/>
      <c r="J157" s="43"/>
      <c r="K157" s="53"/>
      <c r="L157" s="53"/>
      <c r="M157" s="53"/>
      <c r="O157" s="68" t="s">
        <v>1751</v>
      </c>
      <c r="P157" s="2196" t="s">
        <v>3010</v>
      </c>
      <c r="Q157" s="562"/>
    </row>
    <row r="158" spans="1:18" ht="12" customHeight="1">
      <c r="A158" s="1589"/>
      <c r="B158" s="68" t="s">
        <v>1752</v>
      </c>
      <c r="C158" s="53" t="s">
        <v>687</v>
      </c>
      <c r="E158" s="53"/>
      <c r="F158" s="53"/>
      <c r="G158" s="53"/>
      <c r="H158" s="53"/>
      <c r="I158" s="43"/>
      <c r="J158" s="43"/>
      <c r="K158" s="53"/>
      <c r="L158" s="53"/>
      <c r="M158" s="53"/>
      <c r="O158" s="68" t="s">
        <v>1752</v>
      </c>
      <c r="P158" s="2196" t="s">
        <v>3010</v>
      </c>
      <c r="Q158" s="562"/>
    </row>
    <row r="159" spans="1:18" ht="12" customHeight="1">
      <c r="A159" s="48" t="s">
        <v>1962</v>
      </c>
      <c r="B159" s="53" t="s">
        <v>1766</v>
      </c>
      <c r="D159" s="138"/>
      <c r="E159" s="138"/>
      <c r="F159" s="138"/>
      <c r="G159" s="138"/>
      <c r="H159" s="138"/>
      <c r="I159" s="43"/>
      <c r="J159" s="43"/>
      <c r="K159" s="138"/>
      <c r="L159" s="138"/>
      <c r="M159" s="1594"/>
      <c r="O159" s="484" t="s">
        <v>1962</v>
      </c>
      <c r="P159" s="2192" t="s">
        <v>979</v>
      </c>
      <c r="Q159" s="563"/>
    </row>
    <row r="160" spans="1:18" ht="12" customHeight="1">
      <c r="A160" s="425" t="s">
        <v>3485</v>
      </c>
      <c r="C160" s="53"/>
      <c r="D160" s="138"/>
      <c r="E160" s="138"/>
      <c r="F160" s="138"/>
      <c r="G160" s="138"/>
      <c r="H160" s="138"/>
      <c r="I160" s="43"/>
      <c r="J160" s="43"/>
      <c r="K160" s="138"/>
      <c r="L160" s="138"/>
      <c r="M160" s="1594"/>
      <c r="N160" s="1594"/>
      <c r="O160" s="1594"/>
      <c r="P160" s="1594"/>
      <c r="Q160" s="1594"/>
      <c r="R160" s="1594"/>
    </row>
    <row r="161" spans="1:32" s="1" customFormat="1" ht="23.45" customHeight="1">
      <c r="A161" s="146" t="s">
        <v>3391</v>
      </c>
      <c r="B161" s="3198" t="s">
        <v>149</v>
      </c>
      <c r="C161" s="3198"/>
      <c r="D161" s="3198"/>
      <c r="E161" s="3198"/>
      <c r="F161" s="3198"/>
      <c r="G161" s="3198"/>
      <c r="H161" s="3198"/>
      <c r="I161" s="3198"/>
      <c r="J161" s="3198"/>
      <c r="K161" s="3198"/>
      <c r="L161" s="3198"/>
      <c r="M161" s="166" t="s">
        <v>3391</v>
      </c>
      <c r="N161" s="3201" t="s">
        <v>4647</v>
      </c>
      <c r="O161" s="3202"/>
      <c r="P161" s="3203" t="s">
        <v>1784</v>
      </c>
      <c r="Q161" s="3204"/>
      <c r="AE161" s="5"/>
      <c r="AF161" s="5"/>
    </row>
    <row r="162" spans="1:32" s="1" customFormat="1" ht="12" customHeight="1">
      <c r="A162" s="48" t="s">
        <v>622</v>
      </c>
      <c r="B162" s="118" t="s">
        <v>1</v>
      </c>
      <c r="D162" s="1240"/>
      <c r="E162" s="1240"/>
      <c r="G162" s="484" t="s">
        <v>622</v>
      </c>
      <c r="H162" s="3191">
        <v>106114115127104</v>
      </c>
      <c r="I162" s="3192"/>
      <c r="J162" s="3192"/>
      <c r="K162" s="3192"/>
      <c r="L162" s="3192"/>
      <c r="M162" s="3192"/>
      <c r="N162" s="3192"/>
      <c r="O162" s="3192"/>
      <c r="P162" s="3193"/>
      <c r="Q162" s="559"/>
      <c r="AE162" s="5"/>
      <c r="AF162" s="5"/>
    </row>
    <row r="163" spans="1:32" s="1" customFormat="1" ht="12" customHeight="1">
      <c r="A163" s="48" t="s">
        <v>3392</v>
      </c>
      <c r="B163" s="956" t="s">
        <v>1427</v>
      </c>
      <c r="D163" s="11"/>
      <c r="E163" s="11"/>
      <c r="F163" s="11"/>
      <c r="G163" s="7"/>
      <c r="H163" s="7"/>
      <c r="I163" s="956"/>
      <c r="K163" s="7"/>
      <c r="L163" s="7"/>
      <c r="M163" s="7"/>
      <c r="O163" s="484" t="s">
        <v>3392</v>
      </c>
      <c r="P163" s="2210" t="s">
        <v>3013</v>
      </c>
      <c r="Q163" s="559"/>
      <c r="AE163" s="5"/>
      <c r="AF163" s="5"/>
    </row>
    <row r="164" spans="1:32" ht="11.25" customHeight="1">
      <c r="B164" s="145" t="s">
        <v>3779</v>
      </c>
      <c r="D164" s="145"/>
      <c r="E164" s="145"/>
      <c r="F164" s="145"/>
      <c r="G164" s="145"/>
      <c r="H164" s="41"/>
      <c r="I164" s="1589"/>
      <c r="J164" s="1589"/>
      <c r="K164" s="1589"/>
      <c r="L164" s="1585"/>
      <c r="M164" s="1585"/>
      <c r="N164" s="1585"/>
      <c r="O164" s="1585"/>
      <c r="P164" s="1585"/>
      <c r="Q164" s="955"/>
    </row>
    <row r="165" spans="1:32" ht="84.6" customHeight="1">
      <c r="A165" s="3100" t="s">
        <v>4665</v>
      </c>
      <c r="B165" s="3101"/>
      <c r="C165" s="3101"/>
      <c r="D165" s="3101"/>
      <c r="E165" s="3101"/>
      <c r="F165" s="3101"/>
      <c r="G165" s="3101"/>
      <c r="H165" s="3101"/>
      <c r="I165" s="3101"/>
      <c r="J165" s="3101"/>
      <c r="K165" s="3101"/>
      <c r="L165" s="3101"/>
      <c r="M165" s="3101"/>
      <c r="N165" s="3101"/>
      <c r="O165" s="3101"/>
      <c r="P165" s="3101"/>
      <c r="Q165" s="3102"/>
      <c r="R165" s="462" t="s">
        <v>1266</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1880</v>
      </c>
      <c r="C167" s="142"/>
      <c r="D167" s="1592"/>
      <c r="E167" s="1592"/>
      <c r="F167" s="1592"/>
      <c r="G167" s="1592"/>
      <c r="H167" s="1592"/>
      <c r="I167" s="1592"/>
      <c r="J167" s="1592"/>
      <c r="K167" s="1592"/>
      <c r="L167" s="1592"/>
      <c r="M167" s="1592"/>
      <c r="N167" s="1592"/>
      <c r="O167" s="1592"/>
      <c r="P167" s="1592"/>
      <c r="Q167" s="1592"/>
    </row>
    <row r="168" spans="1:32" ht="11.45" customHeight="1">
      <c r="A168" s="3159"/>
      <c r="B168" s="3160"/>
      <c r="C168" s="3160"/>
      <c r="D168" s="3160"/>
      <c r="E168" s="3160"/>
      <c r="F168" s="3160"/>
      <c r="G168" s="3160"/>
      <c r="H168" s="3160"/>
      <c r="I168" s="3160"/>
      <c r="J168" s="3160"/>
      <c r="K168" s="3160"/>
      <c r="L168" s="3160"/>
      <c r="M168" s="3160"/>
      <c r="N168" s="3160"/>
      <c r="O168" s="3160"/>
      <c r="P168" s="3160"/>
      <c r="Q168" s="3161"/>
    </row>
    <row r="169" spans="1:32" ht="3" customHeight="1">
      <c r="A169" s="1585"/>
      <c r="B169" s="1589"/>
      <c r="C169" s="1592"/>
      <c r="D169" s="1592"/>
      <c r="E169" s="1592"/>
      <c r="F169" s="1592"/>
      <c r="G169" s="1592"/>
      <c r="H169" s="1592"/>
      <c r="I169" s="1592"/>
      <c r="J169" s="1592"/>
      <c r="K169" s="1592"/>
      <c r="L169" s="1592"/>
      <c r="M169" s="1592"/>
      <c r="N169" s="1592"/>
      <c r="O169" s="1592"/>
      <c r="P169" s="1592"/>
      <c r="Q169" s="1585"/>
    </row>
    <row r="170" spans="1:32" ht="13.9" customHeight="1">
      <c r="A170" s="1586" t="s">
        <v>294</v>
      </c>
      <c r="B170" s="1586" t="s">
        <v>2673</v>
      </c>
      <c r="C170" s="1586"/>
      <c r="D170" s="1592"/>
      <c r="E170" s="1592"/>
      <c r="F170" s="1592"/>
      <c r="G170" s="1592"/>
      <c r="H170" s="1592"/>
      <c r="I170" s="1592"/>
      <c r="J170" s="1592"/>
      <c r="K170" s="1592"/>
      <c r="O170" s="136" t="s">
        <v>1881</v>
      </c>
      <c r="P170" s="3116"/>
      <c r="Q170" s="3117"/>
    </row>
    <row r="171" spans="1:32" ht="12" customHeight="1">
      <c r="A171" s="48" t="s">
        <v>1999</v>
      </c>
      <c r="B171" s="53" t="s">
        <v>3933</v>
      </c>
      <c r="D171" s="53"/>
      <c r="E171" s="53"/>
      <c r="F171" s="53"/>
      <c r="G171" s="53"/>
      <c r="I171" s="53" t="s">
        <v>2725</v>
      </c>
      <c r="K171" s="3272">
        <v>44075</v>
      </c>
      <c r="L171" s="3273"/>
      <c r="N171" s="53"/>
      <c r="O171" s="484" t="s">
        <v>1999</v>
      </c>
      <c r="P171" s="2210" t="s">
        <v>3010</v>
      </c>
      <c r="Q171" s="559"/>
    </row>
    <row r="172" spans="1:32" ht="12" customHeight="1">
      <c r="A172" s="48" t="s">
        <v>2001</v>
      </c>
      <c r="B172" s="144" t="s">
        <v>151</v>
      </c>
      <c r="D172" s="144"/>
      <c r="E172" s="144"/>
      <c r="F172" s="144"/>
      <c r="G172" s="144"/>
      <c r="H172" s="144"/>
      <c r="M172" s="484" t="s">
        <v>2001</v>
      </c>
      <c r="N172" s="3274" t="s">
        <v>4648</v>
      </c>
      <c r="O172" s="3275"/>
      <c r="P172" s="3276" t="s">
        <v>1784</v>
      </c>
      <c r="Q172" s="3277"/>
    </row>
    <row r="173" spans="1:32" ht="12" customHeight="1">
      <c r="A173" s="48" t="s">
        <v>757</v>
      </c>
      <c r="B173" s="144" t="s">
        <v>688</v>
      </c>
      <c r="D173" s="144"/>
      <c r="E173" s="144"/>
      <c r="F173" s="144"/>
      <c r="G173" s="144"/>
      <c r="H173" s="144"/>
      <c r="J173" s="484" t="s">
        <v>757</v>
      </c>
      <c r="K173" s="3182" t="s">
        <v>4649</v>
      </c>
      <c r="L173" s="3183"/>
      <c r="M173" s="3183"/>
      <c r="N173" s="3183"/>
      <c r="O173" s="3183"/>
      <c r="P173" s="3184"/>
      <c r="Q173" s="559"/>
    </row>
    <row r="174" spans="1:32" ht="12" customHeight="1">
      <c r="A174" s="48" t="s">
        <v>2131</v>
      </c>
      <c r="B174" s="144" t="s">
        <v>2900</v>
      </c>
      <c r="D174" s="144"/>
      <c r="E174" s="144"/>
      <c r="F174" s="144"/>
      <c r="G174" s="144"/>
      <c r="H174" s="144"/>
      <c r="J174" s="484"/>
      <c r="K174" s="484"/>
      <c r="L174" s="484"/>
      <c r="M174" s="484"/>
      <c r="N174" s="484"/>
      <c r="O174" s="484" t="s">
        <v>2131</v>
      </c>
      <c r="P174" s="2210" t="s">
        <v>3010</v>
      </c>
      <c r="Q174" s="559"/>
    </row>
    <row r="175" spans="1:32" ht="12" customHeight="1">
      <c r="B175" s="145" t="s">
        <v>3779</v>
      </c>
      <c r="D175" s="145"/>
      <c r="E175" s="145"/>
      <c r="F175" s="145"/>
      <c r="G175" s="145"/>
      <c r="H175" s="41"/>
      <c r="I175" s="1589"/>
      <c r="J175" s="1589"/>
      <c r="K175" s="1589"/>
      <c r="L175" s="1585"/>
      <c r="M175" s="1585"/>
      <c r="N175" s="1585"/>
      <c r="O175" s="1585"/>
      <c r="P175" s="1585"/>
      <c r="Q175" s="955"/>
    </row>
    <row r="176" spans="1:32" ht="49.15" customHeight="1">
      <c r="A176" s="3100" t="s">
        <v>4666</v>
      </c>
      <c r="B176" s="3101"/>
      <c r="C176" s="3101"/>
      <c r="D176" s="3101"/>
      <c r="E176" s="3101"/>
      <c r="F176" s="3101"/>
      <c r="G176" s="3101"/>
      <c r="H176" s="3101"/>
      <c r="I176" s="3101"/>
      <c r="J176" s="3101"/>
      <c r="K176" s="3101"/>
      <c r="L176" s="3101"/>
      <c r="M176" s="3101"/>
      <c r="N176" s="3101"/>
      <c r="O176" s="3101"/>
      <c r="P176" s="3101"/>
      <c r="Q176" s="3102"/>
      <c r="U176" s="140"/>
      <c r="V176" s="140"/>
      <c r="W176" s="140"/>
      <c r="X176" s="140"/>
      <c r="Y176" s="140"/>
      <c r="Z176" s="140"/>
      <c r="AA176" s="140"/>
      <c r="AB176" s="140"/>
      <c r="AC176" s="140"/>
      <c r="AD176" s="140"/>
      <c r="AE176" s="486"/>
    </row>
    <row r="177" spans="1:31" ht="12" customHeight="1">
      <c r="B177" s="141" t="s">
        <v>1880</v>
      </c>
      <c r="C177" s="142"/>
      <c r="D177" s="1592"/>
      <c r="E177" s="1592"/>
      <c r="F177" s="1592"/>
      <c r="G177" s="1592"/>
      <c r="H177" s="1592"/>
      <c r="I177" s="1592"/>
      <c r="J177" s="1592"/>
      <c r="K177" s="1592"/>
      <c r="L177" s="1592"/>
      <c r="M177" s="1592"/>
      <c r="N177" s="1592"/>
      <c r="O177" s="1592"/>
      <c r="P177" s="1592"/>
      <c r="Q177" s="1592"/>
    </row>
    <row r="178" spans="1:31" ht="11.45" customHeight="1">
      <c r="A178" s="3159"/>
      <c r="B178" s="3160"/>
      <c r="C178" s="3160"/>
      <c r="D178" s="3160"/>
      <c r="E178" s="3160"/>
      <c r="F178" s="3160"/>
      <c r="G178" s="3160"/>
      <c r="H178" s="3160"/>
      <c r="I178" s="3160"/>
      <c r="J178" s="3160"/>
      <c r="K178" s="3160"/>
      <c r="L178" s="3160"/>
      <c r="M178" s="3160"/>
      <c r="N178" s="3160"/>
      <c r="O178" s="3160"/>
      <c r="P178" s="3160"/>
      <c r="Q178" s="3161"/>
    </row>
    <row r="179" spans="1:31" ht="3" customHeight="1">
      <c r="A179" s="1585"/>
      <c r="B179" s="1589"/>
      <c r="C179" s="1592"/>
      <c r="D179" s="1592"/>
      <c r="E179" s="1592"/>
      <c r="F179" s="1592"/>
      <c r="G179" s="1592"/>
      <c r="H179" s="1592"/>
      <c r="I179" s="1592"/>
      <c r="J179" s="1592"/>
      <c r="K179" s="1592"/>
      <c r="L179" s="1592"/>
      <c r="M179" s="1592"/>
      <c r="Q179" s="1585"/>
    </row>
    <row r="180" spans="1:31" ht="13.9" customHeight="1">
      <c r="A180" s="1586" t="s">
        <v>428</v>
      </c>
      <c r="B180" s="1586" t="s">
        <v>2674</v>
      </c>
      <c r="C180" s="1586"/>
      <c r="D180" s="1592"/>
      <c r="E180" s="1592"/>
      <c r="F180" s="1592"/>
      <c r="G180" s="1592"/>
      <c r="H180" s="1592"/>
      <c r="I180" s="1592"/>
      <c r="J180" s="1592"/>
      <c r="K180" s="1592"/>
      <c r="L180" s="1592"/>
      <c r="M180" s="1592"/>
      <c r="O180" s="136" t="s">
        <v>1881</v>
      </c>
      <c r="P180" s="3116"/>
      <c r="Q180" s="3117"/>
    </row>
    <row r="181" spans="1:31" ht="21.75" customHeight="1">
      <c r="A181" s="146" t="s">
        <v>1999</v>
      </c>
      <c r="B181" s="3198" t="s">
        <v>3770</v>
      </c>
      <c r="C181" s="3198"/>
      <c r="D181" s="3198"/>
      <c r="E181" s="3198"/>
      <c r="F181" s="3198"/>
      <c r="G181" s="3198"/>
      <c r="H181" s="3198"/>
      <c r="I181" s="3198"/>
      <c r="J181" s="3198"/>
      <c r="K181" s="3198"/>
      <c r="L181" s="3198"/>
      <c r="M181" s="3198"/>
      <c r="N181" s="3198"/>
      <c r="O181" s="166" t="s">
        <v>1999</v>
      </c>
      <c r="P181" s="2236" t="s">
        <v>3010</v>
      </c>
      <c r="Q181" s="1261"/>
    </row>
    <row r="182" spans="1:31" ht="22.15" customHeight="1">
      <c r="A182" s="146" t="s">
        <v>2001</v>
      </c>
      <c r="B182" s="3198" t="s">
        <v>3664</v>
      </c>
      <c r="C182" s="3198"/>
      <c r="D182" s="3198"/>
      <c r="E182" s="3198"/>
      <c r="F182" s="3198"/>
      <c r="G182" s="3198"/>
      <c r="H182" s="3198"/>
      <c r="I182" s="3198"/>
      <c r="J182" s="3198"/>
      <c r="K182" s="3198"/>
      <c r="L182" s="3198"/>
      <c r="M182" s="3198"/>
      <c r="N182" s="3198"/>
      <c r="O182" s="166" t="s">
        <v>2001</v>
      </c>
      <c r="P182" s="2262" t="s">
        <v>4650</v>
      </c>
      <c r="Q182" s="564"/>
    </row>
    <row r="183" spans="1:31" ht="22.15" customHeight="1">
      <c r="A183" s="146" t="s">
        <v>757</v>
      </c>
      <c r="B183" s="3198" t="s">
        <v>3771</v>
      </c>
      <c r="C183" s="3198"/>
      <c r="D183" s="3198"/>
      <c r="E183" s="3198"/>
      <c r="F183" s="3198"/>
      <c r="G183" s="3198"/>
      <c r="H183" s="3198"/>
      <c r="I183" s="3198"/>
      <c r="J183" s="3198"/>
      <c r="K183" s="3198"/>
      <c r="L183" s="3198"/>
      <c r="M183" s="3198"/>
      <c r="N183" s="3198"/>
      <c r="O183" s="166" t="s">
        <v>757</v>
      </c>
      <c r="P183" s="2262" t="s">
        <v>4650</v>
      </c>
      <c r="Q183" s="564"/>
    </row>
    <row r="184" spans="1:31" ht="21.75" customHeight="1">
      <c r="A184" s="146" t="s">
        <v>2131</v>
      </c>
      <c r="B184" s="3198" t="s">
        <v>2659</v>
      </c>
      <c r="C184" s="3198"/>
      <c r="D184" s="3198"/>
      <c r="E184" s="3198"/>
      <c r="F184" s="3198"/>
      <c r="G184" s="3198"/>
      <c r="H184" s="3198"/>
      <c r="I184" s="3198"/>
      <c r="J184" s="3198"/>
      <c r="K184" s="3198"/>
      <c r="L184" s="3198"/>
      <c r="M184" s="3198"/>
      <c r="N184" s="3198"/>
      <c r="O184" s="166" t="s">
        <v>2131</v>
      </c>
      <c r="P184" s="2249" t="s">
        <v>4650</v>
      </c>
      <c r="Q184" s="1282"/>
    </row>
    <row r="185" spans="1:31" ht="12" customHeight="1">
      <c r="B185" s="145" t="s">
        <v>3779</v>
      </c>
      <c r="D185" s="145"/>
      <c r="E185" s="145"/>
      <c r="F185" s="145"/>
      <c r="G185" s="145"/>
      <c r="H185" s="41"/>
      <c r="I185" s="1589"/>
      <c r="J185" s="1589"/>
      <c r="K185" s="1589"/>
      <c r="L185" s="1585"/>
      <c r="M185" s="1585"/>
      <c r="N185" s="1585"/>
      <c r="O185" s="1585"/>
      <c r="P185" s="1585"/>
      <c r="Q185" s="955"/>
    </row>
    <row r="186" spans="1:31" ht="28.15" customHeight="1">
      <c r="A186" s="3100" t="s">
        <v>4667</v>
      </c>
      <c r="B186" s="3101"/>
      <c r="C186" s="3101"/>
      <c r="D186" s="3101"/>
      <c r="E186" s="3101"/>
      <c r="F186" s="3101"/>
      <c r="G186" s="3101"/>
      <c r="H186" s="3101"/>
      <c r="I186" s="3101"/>
      <c r="J186" s="3101"/>
      <c r="K186" s="3101"/>
      <c r="L186" s="3101"/>
      <c r="M186" s="3101"/>
      <c r="N186" s="3101"/>
      <c r="O186" s="3101"/>
      <c r="P186" s="3101"/>
      <c r="Q186" s="3102"/>
      <c r="U186" s="140"/>
      <c r="V186" s="140"/>
      <c r="W186" s="140"/>
      <c r="X186" s="140"/>
      <c r="Y186" s="140"/>
      <c r="Z186" s="140"/>
      <c r="AA186" s="140"/>
      <c r="AB186" s="140"/>
      <c r="AC186" s="140"/>
      <c r="AD186" s="140"/>
      <c r="AE186" s="486"/>
    </row>
    <row r="187" spans="1:31" ht="12" customHeight="1">
      <c r="B187" s="141" t="s">
        <v>1880</v>
      </c>
      <c r="C187" s="142"/>
      <c r="D187" s="1592"/>
      <c r="E187" s="1592"/>
      <c r="F187" s="1592"/>
      <c r="G187" s="1592"/>
      <c r="H187" s="1592"/>
      <c r="I187" s="1592"/>
      <c r="J187" s="1592"/>
      <c r="K187" s="1592"/>
      <c r="L187" s="1592"/>
      <c r="M187" s="1592"/>
      <c r="N187" s="1592"/>
      <c r="O187" s="1592"/>
      <c r="P187" s="1592"/>
      <c r="Q187" s="1592"/>
    </row>
    <row r="188" spans="1:31" ht="11.45" customHeight="1">
      <c r="A188" s="3159"/>
      <c r="B188" s="3160"/>
      <c r="C188" s="3160"/>
      <c r="D188" s="3160"/>
      <c r="E188" s="3160"/>
      <c r="F188" s="3160"/>
      <c r="G188" s="3160"/>
      <c r="H188" s="3160"/>
      <c r="I188" s="3160"/>
      <c r="J188" s="3160"/>
      <c r="K188" s="3160"/>
      <c r="L188" s="3160"/>
      <c r="M188" s="3160"/>
      <c r="N188" s="3160"/>
      <c r="O188" s="3160"/>
      <c r="P188" s="3160"/>
      <c r="Q188" s="3161"/>
    </row>
    <row r="189" spans="1:31" ht="3" customHeight="1">
      <c r="B189" s="1589"/>
      <c r="C189" s="1592"/>
      <c r="D189" s="1592"/>
      <c r="E189" s="1592"/>
      <c r="F189" s="1592"/>
      <c r="G189" s="1592"/>
      <c r="H189" s="1592"/>
      <c r="I189" s="1592"/>
      <c r="J189" s="1592"/>
      <c r="K189" s="1592"/>
      <c r="L189" s="1592"/>
      <c r="M189" s="1592"/>
      <c r="N189" s="1592"/>
      <c r="O189" s="1592"/>
      <c r="P189" s="1592"/>
      <c r="Q189" s="1585"/>
    </row>
    <row r="190" spans="1:31" ht="13.9" customHeight="1">
      <c r="A190" s="1565" t="s">
        <v>364</v>
      </c>
      <c r="B190" s="3071" t="s">
        <v>2675</v>
      </c>
      <c r="C190" s="3071"/>
      <c r="D190" s="3071"/>
      <c r="O190" s="136" t="s">
        <v>1881</v>
      </c>
      <c r="P190" s="3116"/>
      <c r="Q190" s="3117"/>
    </row>
    <row r="191" spans="1:31" ht="12" customHeight="1">
      <c r="A191" s="146" t="s">
        <v>1999</v>
      </c>
      <c r="B191" s="932" t="s">
        <v>472</v>
      </c>
      <c r="D191" s="932"/>
      <c r="E191" s="932"/>
      <c r="F191" s="932"/>
      <c r="G191" s="932"/>
      <c r="H191" s="932"/>
      <c r="I191" s="932"/>
      <c r="J191" s="932"/>
      <c r="K191" s="932"/>
      <c r="L191" s="932"/>
      <c r="M191" s="932"/>
      <c r="O191" s="166" t="s">
        <v>1999</v>
      </c>
      <c r="P191" s="2193" t="s">
        <v>3010</v>
      </c>
      <c r="Q191" s="561"/>
    </row>
    <row r="192" spans="1:31" ht="12" customHeight="1">
      <c r="A192" s="146" t="s">
        <v>2001</v>
      </c>
      <c r="B192" s="932" t="s">
        <v>2660</v>
      </c>
      <c r="D192" s="932"/>
      <c r="E192" s="932"/>
      <c r="F192" s="932"/>
      <c r="G192" s="932"/>
      <c r="H192" s="932"/>
      <c r="I192" s="932"/>
      <c r="J192" s="932"/>
      <c r="K192" s="932"/>
      <c r="L192" s="932"/>
      <c r="M192" s="932"/>
      <c r="O192" s="166" t="s">
        <v>2001</v>
      </c>
      <c r="P192" s="2196" t="s">
        <v>3010</v>
      </c>
      <c r="Q192" s="562"/>
    </row>
    <row r="193" spans="1:32" ht="12" customHeight="1">
      <c r="A193" s="146" t="s">
        <v>757</v>
      </c>
      <c r="B193" s="932" t="s">
        <v>2661</v>
      </c>
      <c r="D193" s="932"/>
      <c r="E193" s="932"/>
      <c r="F193" s="932"/>
      <c r="G193" s="932"/>
      <c r="H193" s="932"/>
      <c r="I193" s="932"/>
      <c r="J193" s="932"/>
      <c r="K193" s="932"/>
      <c r="L193" s="932"/>
      <c r="M193" s="932"/>
      <c r="O193" s="166" t="s">
        <v>757</v>
      </c>
      <c r="P193" s="2196" t="s">
        <v>3010</v>
      </c>
      <c r="Q193" s="562"/>
    </row>
    <row r="194" spans="1:32" ht="12" customHeight="1">
      <c r="A194" s="146"/>
      <c r="B194" s="3198" t="s">
        <v>2649</v>
      </c>
      <c r="C194" s="3198"/>
      <c r="D194" s="484" t="s">
        <v>1750</v>
      </c>
      <c r="E194" s="956" t="s">
        <v>2662</v>
      </c>
      <c r="G194" s="932"/>
      <c r="H194" s="932"/>
      <c r="I194" s="932"/>
      <c r="J194" s="932"/>
      <c r="K194" s="932"/>
      <c r="L194" s="932"/>
      <c r="M194" s="932"/>
      <c r="O194" s="459" t="s">
        <v>1750</v>
      </c>
      <c r="P194" s="2196" t="s">
        <v>3010</v>
      </c>
      <c r="Q194" s="562"/>
    </row>
    <row r="195" spans="1:32" ht="12" customHeight="1">
      <c r="A195" s="146"/>
      <c r="B195" s="3198"/>
      <c r="C195" s="3198"/>
      <c r="D195" s="484" t="s">
        <v>1751</v>
      </c>
      <c r="E195" s="956" t="s">
        <v>2663</v>
      </c>
      <c r="G195" s="932"/>
      <c r="H195" s="932"/>
      <c r="I195" s="932"/>
      <c r="J195" s="932"/>
      <c r="K195" s="932"/>
      <c r="L195" s="932"/>
      <c r="M195" s="932"/>
      <c r="O195" s="459" t="s">
        <v>1751</v>
      </c>
      <c r="P195" s="2196" t="s">
        <v>3010</v>
      </c>
      <c r="Q195" s="562"/>
    </row>
    <row r="196" spans="1:32" s="137" customFormat="1" ht="21.75" customHeight="1">
      <c r="A196" s="146"/>
      <c r="C196" s="932"/>
      <c r="D196" s="166" t="s">
        <v>1752</v>
      </c>
      <c r="E196" s="3198" t="s">
        <v>3772</v>
      </c>
      <c r="F196" s="3198"/>
      <c r="G196" s="3198"/>
      <c r="H196" s="3198"/>
      <c r="I196" s="3198"/>
      <c r="J196" s="3198"/>
      <c r="K196" s="3198"/>
      <c r="L196" s="3198"/>
      <c r="M196" s="3198"/>
      <c r="N196" s="3198"/>
      <c r="O196" s="166" t="s">
        <v>1752</v>
      </c>
      <c r="P196" s="2262" t="s">
        <v>3010</v>
      </c>
      <c r="Q196" s="564"/>
      <c r="AE196" s="487"/>
      <c r="AF196" s="487"/>
    </row>
    <row r="197" spans="1:32" ht="12" customHeight="1">
      <c r="A197" s="146"/>
      <c r="C197" s="932"/>
      <c r="D197" s="484" t="s">
        <v>2381</v>
      </c>
      <c r="E197" s="956" t="s">
        <v>2664</v>
      </c>
      <c r="G197" s="932"/>
      <c r="H197" s="932"/>
      <c r="I197" s="932"/>
      <c r="J197" s="932"/>
      <c r="K197" s="932"/>
      <c r="L197" s="932"/>
      <c r="M197" s="932"/>
      <c r="O197" s="459" t="s">
        <v>2381</v>
      </c>
      <c r="P197" s="2196" t="s">
        <v>3010</v>
      </c>
      <c r="Q197" s="562"/>
    </row>
    <row r="198" spans="1:32" s="137" customFormat="1" ht="21.75" customHeight="1">
      <c r="A198" s="146"/>
      <c r="C198" s="932"/>
      <c r="D198" s="166" t="s">
        <v>1561</v>
      </c>
      <c r="E198" s="3198" t="s">
        <v>2665</v>
      </c>
      <c r="F198" s="3198"/>
      <c r="G198" s="3198"/>
      <c r="H198" s="3198"/>
      <c r="I198" s="3198"/>
      <c r="J198" s="3198"/>
      <c r="K198" s="3198"/>
      <c r="L198" s="3198"/>
      <c r="M198" s="3198"/>
      <c r="N198" s="3198"/>
      <c r="O198" s="166" t="s">
        <v>1561</v>
      </c>
      <c r="P198" s="2262" t="s">
        <v>3010</v>
      </c>
      <c r="Q198" s="564"/>
      <c r="AE198" s="487"/>
      <c r="AF198" s="487"/>
    </row>
    <row r="199" spans="1:32" s="137" customFormat="1" ht="21.75" customHeight="1">
      <c r="A199" s="146"/>
      <c r="C199" s="932"/>
      <c r="D199" s="166" t="s">
        <v>1562</v>
      </c>
      <c r="E199" s="3198" t="s">
        <v>3927</v>
      </c>
      <c r="F199" s="3198"/>
      <c r="G199" s="3198"/>
      <c r="H199" s="3198"/>
      <c r="I199" s="3198"/>
      <c r="J199" s="3198"/>
      <c r="K199" s="3198"/>
      <c r="L199" s="3198"/>
      <c r="M199" s="3198"/>
      <c r="N199" s="3198"/>
      <c r="O199" s="166" t="s">
        <v>1562</v>
      </c>
      <c r="P199" s="2262" t="s">
        <v>4650</v>
      </c>
      <c r="Q199" s="564"/>
      <c r="AE199" s="487"/>
      <c r="AF199" s="487"/>
    </row>
    <row r="200" spans="1:32" ht="21.75" customHeight="1">
      <c r="A200" s="146" t="s">
        <v>2131</v>
      </c>
      <c r="B200" s="3198" t="s">
        <v>2666</v>
      </c>
      <c r="C200" s="3198"/>
      <c r="D200" s="3198"/>
      <c r="E200" s="3198"/>
      <c r="F200" s="3198"/>
      <c r="G200" s="3198"/>
      <c r="H200" s="3198"/>
      <c r="I200" s="3198"/>
      <c r="J200" s="3198"/>
      <c r="K200" s="3198"/>
      <c r="L200" s="3198"/>
      <c r="M200" s="3198"/>
      <c r="N200" s="3198"/>
      <c r="O200" s="166" t="s">
        <v>2131</v>
      </c>
      <c r="P200" s="2262" t="s">
        <v>3010</v>
      </c>
      <c r="Q200" s="564"/>
    </row>
    <row r="201" spans="1:32" ht="12" customHeight="1">
      <c r="A201" s="146" t="s">
        <v>1748</v>
      </c>
      <c r="B201" s="932" t="s">
        <v>2395</v>
      </c>
      <c r="D201" s="932"/>
      <c r="E201" s="932"/>
      <c r="F201" s="932"/>
      <c r="G201" s="932"/>
      <c r="H201" s="932"/>
      <c r="I201" s="932"/>
      <c r="J201" s="932"/>
      <c r="K201" s="932"/>
      <c r="L201" s="932"/>
      <c r="M201" s="932"/>
      <c r="O201" s="166" t="s">
        <v>1748</v>
      </c>
      <c r="P201" s="2192" t="s">
        <v>3010</v>
      </c>
      <c r="Q201" s="563"/>
    </row>
    <row r="202" spans="1:32" ht="12" customHeight="1">
      <c r="B202" s="145" t="s">
        <v>3779</v>
      </c>
      <c r="D202" s="145"/>
      <c r="E202" s="145"/>
      <c r="F202" s="145"/>
      <c r="G202" s="145"/>
      <c r="H202" s="41"/>
      <c r="I202" s="1589"/>
      <c r="J202" s="1589"/>
      <c r="K202" s="1589"/>
      <c r="L202" s="1585"/>
      <c r="M202" s="1585"/>
      <c r="N202" s="1585"/>
      <c r="O202" s="1585"/>
      <c r="P202" s="1585"/>
      <c r="Q202" s="955"/>
    </row>
    <row r="203" spans="1:32" ht="43.9" customHeight="1">
      <c r="A203" s="3100" t="s">
        <v>4668</v>
      </c>
      <c r="B203" s="3101"/>
      <c r="C203" s="3101"/>
      <c r="D203" s="3101"/>
      <c r="E203" s="3101"/>
      <c r="F203" s="3101"/>
      <c r="G203" s="3101"/>
      <c r="H203" s="3101"/>
      <c r="I203" s="3101"/>
      <c r="J203" s="3101"/>
      <c r="K203" s="3101"/>
      <c r="L203" s="3101"/>
      <c r="M203" s="3101"/>
      <c r="N203" s="3101"/>
      <c r="O203" s="3101"/>
      <c r="P203" s="3101"/>
      <c r="Q203" s="3102"/>
      <c r="U203" s="140"/>
      <c r="V203" s="140"/>
      <c r="W203" s="140"/>
      <c r="X203" s="140"/>
      <c r="Y203" s="140"/>
      <c r="Z203" s="140"/>
      <c r="AA203" s="140"/>
      <c r="AB203" s="140"/>
      <c r="AC203" s="140"/>
      <c r="AD203" s="140"/>
      <c r="AE203" s="486"/>
    </row>
    <row r="204" spans="1:32" ht="12" customHeight="1">
      <c r="B204" s="141" t="s">
        <v>1880</v>
      </c>
      <c r="C204" s="142"/>
      <c r="D204" s="1592"/>
      <c r="E204" s="1592"/>
      <c r="F204" s="1592"/>
      <c r="G204" s="1592"/>
      <c r="H204" s="1592"/>
      <c r="I204" s="1592"/>
      <c r="J204" s="1592"/>
      <c r="K204" s="1592"/>
      <c r="L204" s="1592"/>
      <c r="M204" s="1592"/>
      <c r="N204" s="1592"/>
      <c r="O204" s="1592"/>
      <c r="P204" s="1592"/>
      <c r="Q204" s="1592"/>
    </row>
    <row r="205" spans="1:32" ht="11.45" customHeight="1">
      <c r="A205" s="3159"/>
      <c r="B205" s="3160"/>
      <c r="C205" s="3160"/>
      <c r="D205" s="3160"/>
      <c r="E205" s="3160"/>
      <c r="F205" s="3160"/>
      <c r="G205" s="3160"/>
      <c r="H205" s="3160"/>
      <c r="I205" s="3160"/>
      <c r="J205" s="3160"/>
      <c r="K205" s="3160"/>
      <c r="L205" s="3160"/>
      <c r="M205" s="3160"/>
      <c r="N205" s="3160"/>
      <c r="O205" s="3160"/>
      <c r="P205" s="3160"/>
      <c r="Q205" s="3161"/>
    </row>
    <row r="206" spans="1:32" ht="3" customHeight="1">
      <c r="A206" s="1585"/>
      <c r="B206" s="1589"/>
      <c r="C206" s="1592"/>
      <c r="D206" s="1592"/>
      <c r="E206" s="1592"/>
      <c r="F206" s="1592"/>
      <c r="G206" s="1592"/>
      <c r="H206" s="1592"/>
      <c r="I206" s="1592"/>
      <c r="J206" s="1592"/>
      <c r="K206" s="1592"/>
      <c r="L206" s="1592"/>
      <c r="M206" s="1592"/>
      <c r="N206" s="1592"/>
      <c r="O206" s="1592"/>
      <c r="P206" s="1592"/>
      <c r="Q206" s="1585"/>
    </row>
    <row r="207" spans="1:32" ht="13.9" customHeight="1">
      <c r="A207" s="1586" t="s">
        <v>365</v>
      </c>
      <c r="B207" s="1586" t="s">
        <v>2676</v>
      </c>
      <c r="C207" s="1586"/>
      <c r="D207" s="1592"/>
      <c r="E207" s="151"/>
      <c r="F207" s="151"/>
      <c r="G207" s="1592"/>
      <c r="J207" s="957"/>
      <c r="K207" s="510"/>
      <c r="L207" s="510"/>
      <c r="M207" s="510"/>
      <c r="N207" s="510"/>
      <c r="O207" s="136" t="s">
        <v>1881</v>
      </c>
      <c r="P207" s="3116"/>
      <c r="Q207" s="3117"/>
    </row>
    <row r="208" spans="1:32" ht="11.25" customHeight="1">
      <c r="A208" s="143"/>
      <c r="B208" s="144" t="s">
        <v>98</v>
      </c>
      <c r="D208" s="144"/>
      <c r="E208" s="144"/>
      <c r="F208" s="144"/>
      <c r="G208" s="144"/>
      <c r="H208" s="68" t="s">
        <v>1750</v>
      </c>
      <c r="I208" s="53" t="s">
        <v>153</v>
      </c>
      <c r="J208" s="3162" t="s">
        <v>979</v>
      </c>
      <c r="K208" s="3163"/>
      <c r="L208" s="3163"/>
      <c r="M208" s="3163"/>
      <c r="N208" s="3205"/>
      <c r="O208" s="68" t="s">
        <v>1750</v>
      </c>
      <c r="P208" s="2193"/>
      <c r="Q208" s="561"/>
    </row>
    <row r="209" spans="1:31" ht="11.25" customHeight="1">
      <c r="A209" s="143"/>
      <c r="B209" s="145" t="s">
        <v>3779</v>
      </c>
      <c r="C209" s="107"/>
      <c r="D209" s="107"/>
      <c r="E209" s="107"/>
      <c r="F209" s="107"/>
      <c r="H209" s="68" t="s">
        <v>1751</v>
      </c>
      <c r="I209" s="53" t="s">
        <v>1608</v>
      </c>
      <c r="J209" s="3208" t="s">
        <v>4651</v>
      </c>
      <c r="K209" s="3209"/>
      <c r="L209" s="3209"/>
      <c r="M209" s="3209"/>
      <c r="N209" s="3210"/>
      <c r="O209" s="68" t="s">
        <v>1751</v>
      </c>
      <c r="P209" s="2192" t="s">
        <v>3010</v>
      </c>
      <c r="Q209" s="563"/>
    </row>
    <row r="210" spans="1:31" ht="11.45" customHeight="1">
      <c r="A210" s="3100" t="s">
        <v>4669</v>
      </c>
      <c r="B210" s="3101"/>
      <c r="C210" s="3101"/>
      <c r="D210" s="3101"/>
      <c r="E210" s="3101"/>
      <c r="F210" s="3101"/>
      <c r="G210" s="3101"/>
      <c r="H210" s="3101"/>
      <c r="I210" s="3101"/>
      <c r="J210" s="3101"/>
      <c r="K210" s="3101"/>
      <c r="L210" s="3101"/>
      <c r="M210" s="3101"/>
      <c r="N210" s="3101"/>
      <c r="O210" s="3101"/>
      <c r="P210" s="3101"/>
      <c r="Q210" s="3102"/>
      <c r="U210" s="140"/>
      <c r="V210" s="140"/>
      <c r="W210" s="140"/>
      <c r="X210" s="140"/>
      <c r="Y210" s="140"/>
      <c r="Z210" s="140"/>
      <c r="AA210" s="140"/>
      <c r="AB210" s="140"/>
      <c r="AC210" s="140"/>
      <c r="AD210" s="140"/>
      <c r="AE210" s="486"/>
    </row>
    <row r="211" spans="1:31" ht="11.25" customHeight="1">
      <c r="B211" s="141" t="s">
        <v>1880</v>
      </c>
      <c r="C211" s="142"/>
      <c r="D211" s="1592"/>
      <c r="E211" s="1592"/>
      <c r="F211" s="1592"/>
      <c r="G211" s="1592"/>
      <c r="H211" s="1592"/>
      <c r="I211" s="1592"/>
      <c r="J211" s="1592"/>
      <c r="K211" s="1592"/>
      <c r="L211" s="1592"/>
      <c r="M211" s="1592"/>
      <c r="N211" s="1592"/>
      <c r="O211" s="1592"/>
      <c r="P211" s="1592"/>
      <c r="Q211" s="1592"/>
    </row>
    <row r="212" spans="1:31" ht="11.45" customHeight="1">
      <c r="A212" s="3159"/>
      <c r="B212" s="3160"/>
      <c r="C212" s="3160"/>
      <c r="D212" s="3160"/>
      <c r="E212" s="3160"/>
      <c r="F212" s="3160"/>
      <c r="G212" s="3160"/>
      <c r="H212" s="3160"/>
      <c r="I212" s="3160"/>
      <c r="J212" s="3160"/>
      <c r="K212" s="3160"/>
      <c r="L212" s="3160"/>
      <c r="M212" s="3160"/>
      <c r="N212" s="3160"/>
      <c r="O212" s="3160"/>
      <c r="P212" s="3160"/>
      <c r="Q212" s="3161"/>
    </row>
    <row r="213" spans="1:31" ht="4.1500000000000004" customHeight="1">
      <c r="B213" s="1589"/>
      <c r="C213" s="1592"/>
      <c r="D213" s="1592"/>
      <c r="E213" s="1592"/>
      <c r="F213" s="1592"/>
      <c r="G213" s="1592"/>
      <c r="H213" s="1592"/>
      <c r="I213" s="1592"/>
      <c r="J213" s="1592"/>
      <c r="K213" s="1592"/>
      <c r="L213" s="1592"/>
      <c r="M213" s="1592"/>
      <c r="Q213" s="955"/>
    </row>
    <row r="214" spans="1:31" ht="13.9" customHeight="1">
      <c r="A214" s="1586" t="s">
        <v>366</v>
      </c>
      <c r="B214" s="4" t="s">
        <v>2677</v>
      </c>
      <c r="C214" s="4"/>
      <c r="D214" s="89"/>
      <c r="E214" s="89"/>
      <c r="F214" s="89"/>
      <c r="G214" s="1592"/>
      <c r="H214" s="1592"/>
      <c r="I214" s="1592"/>
      <c r="J214" s="1592"/>
      <c r="K214" s="1592"/>
      <c r="L214" s="1592"/>
      <c r="M214" s="1592"/>
      <c r="O214" s="136" t="s">
        <v>1881</v>
      </c>
      <c r="P214" s="3116"/>
      <c r="Q214" s="3117"/>
    </row>
    <row r="215" spans="1:31" ht="4.1500000000000004" customHeight="1"/>
    <row r="216" spans="1:31" ht="11.45" customHeight="1">
      <c r="A216" s="146" t="s">
        <v>1999</v>
      </c>
      <c r="B216" s="544" t="s">
        <v>1750</v>
      </c>
      <c r="C216" s="420" t="s">
        <v>519</v>
      </c>
      <c r="E216" s="420"/>
      <c r="F216" s="420"/>
      <c r="G216" s="420"/>
      <c r="H216" s="420"/>
      <c r="I216" s="420"/>
      <c r="J216" s="420"/>
      <c r="K216" s="420"/>
      <c r="L216" s="420"/>
      <c r="M216" s="420"/>
      <c r="N216" s="420"/>
      <c r="O216" s="166" t="s">
        <v>1498</v>
      </c>
      <c r="P216" s="2193" t="s">
        <v>3013</v>
      </c>
      <c r="Q216" s="561"/>
    </row>
    <row r="217" spans="1:31" ht="11.45" customHeight="1">
      <c r="A217" s="146"/>
      <c r="B217" s="544" t="s">
        <v>1751</v>
      </c>
      <c r="C217" s="420" t="s">
        <v>1479</v>
      </c>
      <c r="E217" s="420"/>
      <c r="F217" s="420"/>
      <c r="G217" s="420"/>
      <c r="H217" s="420"/>
      <c r="I217" s="420"/>
      <c r="J217" s="420"/>
      <c r="K217" s="420"/>
      <c r="L217" s="420"/>
      <c r="M217" s="420"/>
      <c r="N217" s="420"/>
      <c r="O217" s="166" t="s">
        <v>1751</v>
      </c>
      <c r="P217" s="2196"/>
      <c r="Q217" s="562"/>
    </row>
    <row r="218" spans="1:31" ht="11.45" customHeight="1">
      <c r="A218" s="146" t="s">
        <v>2001</v>
      </c>
      <c r="B218" s="3198" t="s">
        <v>1863</v>
      </c>
      <c r="C218" s="3198"/>
      <c r="D218" s="3198"/>
      <c r="E218" s="3198"/>
      <c r="F218" s="3198"/>
      <c r="G218" s="3198"/>
      <c r="H218" s="68" t="s">
        <v>1750</v>
      </c>
      <c r="I218" s="53" t="s">
        <v>641</v>
      </c>
      <c r="J218" s="3162" t="s">
        <v>4652</v>
      </c>
      <c r="K218" s="3163"/>
      <c r="L218" s="3163"/>
      <c r="M218" s="3163"/>
      <c r="N218" s="3205"/>
      <c r="O218" s="68" t="s">
        <v>1458</v>
      </c>
      <c r="P218" s="2196" t="s">
        <v>3010</v>
      </c>
      <c r="Q218" s="562"/>
    </row>
    <row r="219" spans="1:31" ht="11.45" customHeight="1">
      <c r="A219" s="155"/>
      <c r="B219" s="3198"/>
      <c r="C219" s="3198"/>
      <c r="D219" s="3198"/>
      <c r="E219" s="3198"/>
      <c r="F219" s="3198"/>
      <c r="G219" s="3198"/>
      <c r="H219" s="68" t="s">
        <v>1751</v>
      </c>
      <c r="I219" s="53" t="s">
        <v>117</v>
      </c>
      <c r="J219" s="3208" t="s">
        <v>4652</v>
      </c>
      <c r="K219" s="3209"/>
      <c r="L219" s="3209"/>
      <c r="M219" s="3209"/>
      <c r="N219" s="3210"/>
      <c r="O219" s="68" t="s">
        <v>1751</v>
      </c>
      <c r="P219" s="2196" t="s">
        <v>3010</v>
      </c>
      <c r="Q219" s="562"/>
    </row>
    <row r="220" spans="1:31" ht="12" customHeight="1">
      <c r="A220" s="48" t="s">
        <v>757</v>
      </c>
      <c r="B220" s="53" t="s">
        <v>3934</v>
      </c>
      <c r="D220" s="53"/>
      <c r="E220" s="53"/>
      <c r="F220" s="53"/>
      <c r="G220" s="53"/>
      <c r="H220" s="53"/>
      <c r="I220" s="53"/>
      <c r="J220" s="53"/>
      <c r="K220" s="43"/>
      <c r="L220" s="53"/>
      <c r="M220" s="53"/>
      <c r="O220" s="484" t="s">
        <v>757</v>
      </c>
      <c r="P220" s="2196" t="s">
        <v>3010</v>
      </c>
      <c r="Q220" s="562"/>
    </row>
    <row r="221" spans="1:31" ht="12" customHeight="1">
      <c r="A221" s="48" t="s">
        <v>2131</v>
      </c>
      <c r="B221" s="53" t="s">
        <v>3935</v>
      </c>
      <c r="D221" s="53"/>
      <c r="E221" s="53"/>
      <c r="F221" s="53"/>
      <c r="G221" s="53"/>
      <c r="H221" s="53"/>
      <c r="I221" s="53"/>
      <c r="J221" s="53"/>
      <c r="K221" s="43"/>
      <c r="L221" s="53"/>
      <c r="M221" s="53"/>
      <c r="O221" s="484" t="s">
        <v>2131</v>
      </c>
      <c r="P221" s="2192" t="s">
        <v>3013</v>
      </c>
      <c r="Q221" s="563"/>
    </row>
    <row r="222" spans="1:31" ht="11.25" customHeight="1">
      <c r="B222" s="145" t="s">
        <v>3779</v>
      </c>
      <c r="D222" s="145"/>
      <c r="E222" s="145"/>
      <c r="F222" s="145"/>
      <c r="G222" s="145"/>
      <c r="H222" s="41"/>
      <c r="I222" s="1589"/>
      <c r="J222" s="1589"/>
      <c r="K222" s="1589"/>
      <c r="L222" s="1585"/>
      <c r="M222" s="1585"/>
      <c r="N222" s="1585"/>
      <c r="O222" s="1585"/>
      <c r="P222" s="1585"/>
      <c r="Q222" s="955"/>
    </row>
    <row r="223" spans="1:31" ht="24.6" customHeight="1">
      <c r="A223" s="3100" t="s">
        <v>4670</v>
      </c>
      <c r="B223" s="3101"/>
      <c r="C223" s="3101"/>
      <c r="D223" s="3101"/>
      <c r="E223" s="3101"/>
      <c r="F223" s="3101"/>
      <c r="G223" s="3101"/>
      <c r="H223" s="3101"/>
      <c r="I223" s="3101"/>
      <c r="J223" s="3101"/>
      <c r="K223" s="3101"/>
      <c r="L223" s="3101"/>
      <c r="M223" s="3101"/>
      <c r="N223" s="3101"/>
      <c r="O223" s="3101"/>
      <c r="P223" s="3101"/>
      <c r="Q223" s="3102"/>
      <c r="U223" s="140"/>
      <c r="V223" s="140"/>
      <c r="W223" s="140"/>
      <c r="X223" s="140"/>
      <c r="Y223" s="140"/>
      <c r="Z223" s="140"/>
      <c r="AA223" s="140"/>
      <c r="AB223" s="140"/>
      <c r="AC223" s="140"/>
      <c r="AD223" s="140"/>
      <c r="AE223" s="486"/>
    </row>
    <row r="224" spans="1:31" ht="11.25" customHeight="1">
      <c r="B224" s="141" t="s">
        <v>1880</v>
      </c>
      <c r="C224" s="142"/>
      <c r="D224" s="1592"/>
      <c r="E224" s="1592"/>
      <c r="F224" s="1592"/>
      <c r="G224" s="1592"/>
      <c r="H224" s="1592"/>
      <c r="I224" s="1592"/>
      <c r="J224" s="1592"/>
      <c r="K224" s="1592"/>
      <c r="L224" s="1592"/>
      <c r="M224" s="1592"/>
      <c r="N224" s="1592"/>
      <c r="O224" s="1592"/>
      <c r="P224" s="1592"/>
      <c r="Q224" s="1592"/>
    </row>
    <row r="225" spans="1:32" ht="11.45" customHeight="1">
      <c r="A225" s="3159"/>
      <c r="B225" s="3160"/>
      <c r="C225" s="3160"/>
      <c r="D225" s="3160"/>
      <c r="E225" s="3160"/>
      <c r="F225" s="3160"/>
      <c r="G225" s="3160"/>
      <c r="H225" s="3160"/>
      <c r="I225" s="3160"/>
      <c r="J225" s="3160"/>
      <c r="K225" s="3160"/>
      <c r="L225" s="3160"/>
      <c r="M225" s="3160"/>
      <c r="N225" s="3160"/>
      <c r="O225" s="3160"/>
      <c r="P225" s="3160"/>
      <c r="Q225" s="3161"/>
    </row>
    <row r="226" spans="1:32" ht="3" customHeight="1">
      <c r="A226" s="1585"/>
      <c r="B226" s="1589"/>
      <c r="C226" s="1592"/>
      <c r="D226" s="1592"/>
      <c r="E226" s="1592"/>
      <c r="F226" s="1592"/>
      <c r="G226" s="1592"/>
      <c r="H226" s="1592"/>
      <c r="I226" s="1592"/>
      <c r="J226" s="1592"/>
      <c r="K226" s="1592"/>
      <c r="L226" s="1592"/>
      <c r="M226" s="1592"/>
      <c r="Q226" s="1585"/>
    </row>
    <row r="227" spans="1:32" ht="13.9" customHeight="1">
      <c r="A227" s="1586" t="s">
        <v>1739</v>
      </c>
      <c r="B227" s="1586" t="s">
        <v>2678</v>
      </c>
      <c r="C227" s="116"/>
      <c r="D227" s="1592"/>
      <c r="E227" s="1592"/>
      <c r="F227" s="1592"/>
      <c r="G227" s="1592"/>
      <c r="H227" s="1592"/>
      <c r="I227" s="1592"/>
      <c r="J227" s="1592"/>
      <c r="K227" s="1592"/>
      <c r="L227" s="1592"/>
      <c r="M227" s="1592"/>
      <c r="O227" s="136" t="s">
        <v>1881</v>
      </c>
      <c r="P227" s="3116"/>
      <c r="Q227" s="3117"/>
    </row>
    <row r="228" spans="1:32" s="28" customFormat="1" ht="11.45" customHeight="1">
      <c r="B228" s="149" t="s">
        <v>1203</v>
      </c>
      <c r="N228" s="124"/>
      <c r="P228" s="2210" t="s">
        <v>3010</v>
      </c>
      <c r="Q228" s="559"/>
      <c r="AE228" s="120"/>
      <c r="AF228" s="120"/>
    </row>
    <row r="229" spans="1:32" ht="12" customHeight="1">
      <c r="A229" s="48" t="s">
        <v>1999</v>
      </c>
      <c r="B229" s="37" t="s">
        <v>3730</v>
      </c>
      <c r="D229" s="43"/>
      <c r="E229" s="43"/>
      <c r="F229" s="43"/>
      <c r="G229" s="43"/>
      <c r="H229" s="43"/>
      <c r="I229" s="43"/>
      <c r="J229" s="43"/>
      <c r="K229" s="43"/>
      <c r="L229" s="43"/>
      <c r="M229" s="43"/>
      <c r="O229" s="484" t="s">
        <v>1999</v>
      </c>
      <c r="P229" s="2210" t="s">
        <v>4599</v>
      </c>
      <c r="Q229" s="561"/>
    </row>
    <row r="230" spans="1:32" ht="11.45" customHeight="1">
      <c r="A230" s="48"/>
      <c r="B230" s="68" t="s">
        <v>1750</v>
      </c>
      <c r="C230" s="53" t="s">
        <v>1946</v>
      </c>
      <c r="E230" s="53"/>
      <c r="F230" s="53"/>
      <c r="G230" s="53"/>
      <c r="H230" s="53"/>
      <c r="I230" s="43"/>
      <c r="J230" s="68" t="s">
        <v>1498</v>
      </c>
      <c r="K230" s="3162" t="s">
        <v>537</v>
      </c>
      <c r="L230" s="3205"/>
      <c r="Q230" s="562"/>
    </row>
    <row r="231" spans="1:32" ht="11.45" customHeight="1">
      <c r="A231" s="48"/>
      <c r="B231" s="68" t="s">
        <v>1751</v>
      </c>
      <c r="C231" s="956" t="s">
        <v>2741</v>
      </c>
      <c r="E231" s="956"/>
      <c r="F231" s="956"/>
      <c r="G231" s="956"/>
      <c r="H231" s="956"/>
      <c r="I231" s="43"/>
      <c r="J231" s="68" t="s">
        <v>1499</v>
      </c>
      <c r="K231" s="3206" t="s">
        <v>4653</v>
      </c>
      <c r="L231" s="3207"/>
      <c r="M231" s="3215" t="s">
        <v>2742</v>
      </c>
      <c r="N231" s="3216"/>
      <c r="O231" s="3216"/>
      <c r="P231" s="3217"/>
      <c r="Q231" s="562"/>
    </row>
    <row r="232" spans="1:32" ht="11.45" customHeight="1">
      <c r="A232" s="48"/>
      <c r="B232" s="68" t="s">
        <v>1752</v>
      </c>
      <c r="C232" s="956" t="s">
        <v>563</v>
      </c>
      <c r="E232" s="956"/>
      <c r="F232" s="956"/>
      <c r="G232" s="956"/>
      <c r="H232" s="956"/>
      <c r="I232" s="43"/>
      <c r="J232" s="68" t="s">
        <v>1500</v>
      </c>
      <c r="K232" s="3208" t="s">
        <v>4654</v>
      </c>
      <c r="L232" s="3209"/>
      <c r="M232" s="3210"/>
      <c r="N232" s="1284"/>
      <c r="O232" s="1285"/>
      <c r="P232" s="1286"/>
      <c r="Q232" s="563"/>
      <c r="R232" s="43"/>
    </row>
    <row r="233" spans="1:32" ht="12" customHeight="1">
      <c r="A233" s="48" t="s">
        <v>2001</v>
      </c>
      <c r="B233" s="53" t="s">
        <v>2526</v>
      </c>
      <c r="D233" s="53"/>
      <c r="E233" s="53"/>
      <c r="F233" s="53"/>
      <c r="G233" s="53"/>
      <c r="H233" s="53"/>
      <c r="I233" s="53"/>
      <c r="J233" s="53"/>
      <c r="K233" s="43"/>
      <c r="L233" s="43"/>
      <c r="M233" s="43"/>
      <c r="N233" s="43"/>
      <c r="O233" s="484" t="s">
        <v>2001</v>
      </c>
      <c r="P233" s="2210" t="s">
        <v>4599</v>
      </c>
      <c r="Q233" s="559"/>
    </row>
    <row r="234" spans="1:32" ht="10.9" customHeight="1">
      <c r="A234" s="48"/>
      <c r="B234" s="53" t="s">
        <v>3606</v>
      </c>
      <c r="D234" s="53"/>
      <c r="E234" s="53"/>
      <c r="F234" s="53"/>
      <c r="G234" s="53"/>
      <c r="H234" s="53"/>
      <c r="I234" s="53"/>
      <c r="J234" s="53"/>
      <c r="K234" s="43"/>
      <c r="L234" s="43"/>
      <c r="M234" s="43"/>
      <c r="N234" s="43"/>
      <c r="O234" s="43"/>
      <c r="P234" s="3211" t="s">
        <v>2</v>
      </c>
      <c r="Q234" s="3211"/>
    </row>
    <row r="235" spans="1:32" ht="10.9" customHeight="1">
      <c r="A235" s="48"/>
      <c r="C235" s="53" t="s">
        <v>2743</v>
      </c>
      <c r="D235" s="53"/>
      <c r="E235" s="53"/>
      <c r="F235" s="53"/>
      <c r="H235" s="302" t="s">
        <v>781</v>
      </c>
      <c r="I235" s="303" t="s">
        <v>782</v>
      </c>
      <c r="K235" s="53" t="s">
        <v>2743</v>
      </c>
      <c r="M235" s="43"/>
      <c r="N235" s="43"/>
      <c r="O235" s="302"/>
      <c r="P235" s="304" t="s">
        <v>781</v>
      </c>
      <c r="Q235" s="303" t="s">
        <v>782</v>
      </c>
    </row>
    <row r="236" spans="1:32" s="44" customFormat="1" ht="11.45" customHeight="1">
      <c r="A236" s="52"/>
      <c r="B236" s="68" t="s">
        <v>1750</v>
      </c>
      <c r="C236" s="3212" t="s">
        <v>1671</v>
      </c>
      <c r="D236" s="3213"/>
      <c r="E236" s="3213"/>
      <c r="F236" s="3213"/>
      <c r="G236" s="3214"/>
      <c r="H236" s="568"/>
      <c r="I236" s="569"/>
      <c r="J236" s="68" t="s">
        <v>1752</v>
      </c>
      <c r="K236" s="3212" t="s">
        <v>4656</v>
      </c>
      <c r="L236" s="3213"/>
      <c r="M236" s="3213"/>
      <c r="N236" s="3213"/>
      <c r="O236" s="3214"/>
      <c r="P236" s="561"/>
      <c r="Q236" s="569"/>
      <c r="AE236" s="55"/>
      <c r="AF236" s="55"/>
    </row>
    <row r="237" spans="1:32" s="44" customFormat="1" ht="11.45" customHeight="1">
      <c r="A237" s="52"/>
      <c r="B237" s="68" t="s">
        <v>1751</v>
      </c>
      <c r="C237" s="3224" t="s">
        <v>4655</v>
      </c>
      <c r="D237" s="3225"/>
      <c r="E237" s="3225"/>
      <c r="F237" s="3225"/>
      <c r="G237" s="3226"/>
      <c r="H237" s="570"/>
      <c r="I237" s="571"/>
      <c r="J237" s="68" t="s">
        <v>2381</v>
      </c>
      <c r="K237" s="3224" t="s">
        <v>4657</v>
      </c>
      <c r="L237" s="3225"/>
      <c r="M237" s="3225"/>
      <c r="N237" s="3225"/>
      <c r="O237" s="3226"/>
      <c r="P237" s="563"/>
      <c r="Q237" s="571"/>
      <c r="AE237" s="55"/>
      <c r="AF237" s="55"/>
    </row>
    <row r="238" spans="1:32" ht="12" customHeight="1">
      <c r="A238" s="48" t="s">
        <v>757</v>
      </c>
      <c r="B238" s="53" t="s">
        <v>1393</v>
      </c>
      <c r="C238" s="53"/>
      <c r="E238" s="53"/>
      <c r="F238" s="53"/>
      <c r="G238" s="53"/>
      <c r="H238" s="53"/>
      <c r="I238" s="53"/>
      <c r="J238" s="53"/>
      <c r="K238" s="43"/>
      <c r="L238" s="53"/>
      <c r="M238" s="53"/>
      <c r="O238" s="484" t="s">
        <v>757</v>
      </c>
      <c r="P238" s="2193" t="s">
        <v>4599</v>
      </c>
      <c r="Q238" s="561"/>
    </row>
    <row r="239" spans="1:32" ht="11.45" customHeight="1">
      <c r="A239" s="48"/>
      <c r="B239" s="68" t="s">
        <v>1750</v>
      </c>
      <c r="C239" s="53" t="s">
        <v>3487</v>
      </c>
      <c r="E239" s="53"/>
      <c r="F239" s="53"/>
      <c r="L239" s="34"/>
      <c r="M239" s="34"/>
      <c r="O239" s="68" t="s">
        <v>1750</v>
      </c>
      <c r="P239" s="2196" t="s">
        <v>3010</v>
      </c>
      <c r="Q239" s="562"/>
    </row>
    <row r="240" spans="1:32" ht="11.45" customHeight="1">
      <c r="B240" s="68" t="s">
        <v>1751</v>
      </c>
      <c r="C240" s="956" t="s">
        <v>2826</v>
      </c>
      <c r="E240" s="956"/>
      <c r="F240" s="956"/>
      <c r="L240" s="34"/>
      <c r="M240" s="34"/>
      <c r="O240" s="68" t="s">
        <v>1751</v>
      </c>
      <c r="P240" s="2196" t="s">
        <v>3010</v>
      </c>
      <c r="Q240" s="562"/>
    </row>
    <row r="241" spans="1:31" ht="11.45" customHeight="1">
      <c r="B241" s="68" t="s">
        <v>1752</v>
      </c>
      <c r="C241" s="956" t="s">
        <v>2827</v>
      </c>
      <c r="E241" s="956"/>
      <c r="F241" s="956"/>
      <c r="G241" s="956"/>
      <c r="H241" s="956"/>
      <c r="I241" s="43"/>
      <c r="J241" s="34"/>
      <c r="K241" s="43"/>
      <c r="L241" s="34"/>
      <c r="M241" s="34"/>
      <c r="O241" s="68" t="s">
        <v>1752</v>
      </c>
      <c r="P241" s="2196" t="s">
        <v>3010</v>
      </c>
      <c r="Q241" s="562"/>
    </row>
    <row r="242" spans="1:31" ht="11.45" customHeight="1">
      <c r="A242" s="48"/>
      <c r="B242" s="68" t="s">
        <v>2381</v>
      </c>
      <c r="C242" s="956" t="s">
        <v>2828</v>
      </c>
      <c r="E242" s="956"/>
      <c r="F242" s="956"/>
      <c r="G242" s="956"/>
      <c r="H242" s="956"/>
      <c r="I242" s="43"/>
      <c r="J242" s="34"/>
      <c r="K242" s="43"/>
      <c r="L242" s="34"/>
      <c r="M242" s="34"/>
      <c r="O242" s="68" t="s">
        <v>2381</v>
      </c>
      <c r="P242" s="2196" t="s">
        <v>3010</v>
      </c>
      <c r="Q242" s="562"/>
    </row>
    <row r="243" spans="1:31" ht="11.45" customHeight="1">
      <c r="A243" s="48"/>
      <c r="B243" s="68" t="s">
        <v>1561</v>
      </c>
      <c r="C243" s="956" t="s">
        <v>2829</v>
      </c>
      <c r="E243" s="956"/>
      <c r="F243" s="956"/>
      <c r="G243" s="956"/>
      <c r="H243" s="956"/>
      <c r="I243" s="43"/>
      <c r="J243" s="34"/>
      <c r="K243" s="43"/>
      <c r="L243" s="34"/>
      <c r="M243" s="34"/>
      <c r="O243" s="68" t="s">
        <v>1561</v>
      </c>
      <c r="P243" s="2196" t="s">
        <v>3010</v>
      </c>
      <c r="Q243" s="562"/>
    </row>
    <row r="244" spans="1:31" ht="11.45" customHeight="1">
      <c r="A244" s="48"/>
      <c r="B244" s="484" t="s">
        <v>1562</v>
      </c>
      <c r="C244" s="53" t="s">
        <v>783</v>
      </c>
      <c r="E244" s="53"/>
      <c r="F244" s="53"/>
      <c r="G244" s="53"/>
      <c r="H244" s="53"/>
      <c r="I244" s="43"/>
      <c r="J244" s="34"/>
      <c r="K244" s="43"/>
      <c r="L244" s="34"/>
      <c r="M244" s="34"/>
      <c r="O244" s="484" t="s">
        <v>2817</v>
      </c>
      <c r="P244" s="2196" t="s">
        <v>3010</v>
      </c>
      <c r="Q244" s="562"/>
    </row>
    <row r="245" spans="1:31" ht="11.45" customHeight="1">
      <c r="A245" s="48"/>
      <c r="B245" s="68"/>
      <c r="C245" s="53" t="s">
        <v>1501</v>
      </c>
      <c r="E245" s="53"/>
      <c r="F245" s="53"/>
      <c r="G245" s="53"/>
      <c r="H245" s="53"/>
      <c r="I245" s="43"/>
      <c r="J245" s="34"/>
      <c r="K245" s="43"/>
      <c r="L245" s="34"/>
      <c r="M245" s="34"/>
      <c r="O245" s="484" t="s">
        <v>2818</v>
      </c>
      <c r="P245" s="2192"/>
      <c r="Q245" s="563"/>
    </row>
    <row r="246" spans="1:31" ht="12" customHeight="1">
      <c r="A246" s="48" t="s">
        <v>2131</v>
      </c>
      <c r="B246" s="53" t="s">
        <v>3689</v>
      </c>
      <c r="C246" s="53"/>
      <c r="E246" s="53"/>
      <c r="F246" s="53"/>
      <c r="G246" s="53"/>
      <c r="H246" s="53"/>
      <c r="I246" s="53"/>
      <c r="J246" s="53"/>
      <c r="K246" s="43"/>
      <c r="L246" s="53"/>
      <c r="M246" s="53"/>
      <c r="O246" s="484" t="s">
        <v>2131</v>
      </c>
      <c r="P246" s="2193" t="s">
        <v>979</v>
      </c>
      <c r="Q246" s="561"/>
    </row>
    <row r="247" spans="1:31" ht="11.45" customHeight="1">
      <c r="B247" s="68" t="s">
        <v>1750</v>
      </c>
      <c r="C247" s="40" t="s">
        <v>1267</v>
      </c>
      <c r="E247" s="43"/>
      <c r="F247" s="43"/>
      <c r="G247" s="40"/>
      <c r="H247" s="956"/>
      <c r="I247" s="43"/>
      <c r="J247" s="956"/>
      <c r="K247" s="43"/>
      <c r="L247" s="956"/>
      <c r="M247" s="956"/>
      <c r="O247" s="68" t="s">
        <v>1750</v>
      </c>
      <c r="P247" s="2196"/>
      <c r="Q247" s="562"/>
    </row>
    <row r="248" spans="1:31" ht="11.45" customHeight="1">
      <c r="B248" s="68" t="s">
        <v>1751</v>
      </c>
      <c r="C248" s="37" t="s">
        <v>3936</v>
      </c>
      <c r="E248" s="43"/>
      <c r="F248" s="43"/>
      <c r="G248" s="956"/>
      <c r="H248" s="956"/>
      <c r="I248" s="43"/>
      <c r="J248" s="956"/>
      <c r="K248" s="43"/>
      <c r="L248" s="956"/>
      <c r="M248" s="956"/>
      <c r="O248" s="68" t="s">
        <v>1751</v>
      </c>
      <c r="P248" s="2192"/>
      <c r="Q248" s="563"/>
    </row>
    <row r="249" spans="1:31" ht="11.25" customHeight="1">
      <c r="B249" s="145" t="s">
        <v>3779</v>
      </c>
      <c r="D249" s="145"/>
      <c r="E249" s="145"/>
      <c r="F249" s="145"/>
      <c r="G249" s="145"/>
      <c r="H249" s="41"/>
      <c r="I249" s="1589"/>
      <c r="J249" s="1589"/>
      <c r="K249" s="1589"/>
      <c r="L249" s="1585"/>
      <c r="M249" s="1585"/>
      <c r="N249" s="1585"/>
      <c r="O249" s="1585"/>
      <c r="P249" s="1585"/>
      <c r="Q249" s="955"/>
    </row>
    <row r="250" spans="1:31" ht="70.150000000000006" customHeight="1">
      <c r="A250" s="3100" t="s">
        <v>4671</v>
      </c>
      <c r="B250" s="3101"/>
      <c r="C250" s="3101"/>
      <c r="D250" s="3101"/>
      <c r="E250" s="3101"/>
      <c r="F250" s="3101"/>
      <c r="G250" s="3101"/>
      <c r="H250" s="3101"/>
      <c r="I250" s="3101"/>
      <c r="J250" s="3101"/>
      <c r="K250" s="3101"/>
      <c r="L250" s="3101"/>
      <c r="M250" s="3101"/>
      <c r="N250" s="3101"/>
      <c r="O250" s="3101"/>
      <c r="P250" s="3101"/>
      <c r="Q250" s="3102"/>
      <c r="R250" s="461" t="s">
        <v>1266</v>
      </c>
      <c r="S250" s="462"/>
      <c r="U250" s="140"/>
      <c r="V250" s="140"/>
      <c r="W250" s="140"/>
      <c r="X250" s="140"/>
      <c r="Y250" s="140"/>
      <c r="Z250" s="140"/>
      <c r="AA250" s="140"/>
      <c r="AB250" s="140"/>
      <c r="AC250" s="140"/>
      <c r="AD250" s="140"/>
      <c r="AE250" s="486"/>
    </row>
    <row r="251" spans="1:31" ht="11.25" customHeight="1">
      <c r="B251" s="141" t="s">
        <v>1880</v>
      </c>
      <c r="C251" s="142"/>
      <c r="D251" s="1592"/>
      <c r="E251" s="1592"/>
      <c r="F251" s="1592"/>
      <c r="G251" s="1592"/>
      <c r="H251" s="1592"/>
      <c r="I251" s="1592"/>
      <c r="J251" s="1592"/>
      <c r="K251" s="1592"/>
      <c r="L251" s="1592"/>
      <c r="M251" s="1592"/>
      <c r="N251" s="1592"/>
      <c r="O251" s="1592"/>
      <c r="P251" s="1592"/>
      <c r="Q251" s="1592"/>
    </row>
    <row r="252" spans="1:31" ht="11.25" customHeight="1">
      <c r="A252" s="3159"/>
      <c r="B252" s="3160"/>
      <c r="C252" s="3160"/>
      <c r="D252" s="3160"/>
      <c r="E252" s="3160"/>
      <c r="F252" s="3160"/>
      <c r="G252" s="3160"/>
      <c r="H252" s="3160"/>
      <c r="I252" s="3160"/>
      <c r="J252" s="3160"/>
      <c r="K252" s="3160"/>
      <c r="L252" s="3160"/>
      <c r="M252" s="3160"/>
      <c r="N252" s="3160"/>
      <c r="O252" s="3160"/>
      <c r="P252" s="3160"/>
      <c r="Q252" s="3161"/>
    </row>
    <row r="253" spans="1:31" ht="3" customHeight="1">
      <c r="A253" s="1585"/>
      <c r="B253" s="1589"/>
      <c r="C253" s="1592"/>
      <c r="D253" s="1592"/>
      <c r="E253" s="1592"/>
      <c r="F253" s="1592"/>
      <c r="G253" s="1592"/>
      <c r="H253" s="1592"/>
      <c r="I253" s="1592"/>
      <c r="J253" s="1592"/>
      <c r="K253" s="1592"/>
      <c r="L253" s="1592"/>
      <c r="M253" s="1592"/>
      <c r="Q253" s="1585"/>
    </row>
    <row r="254" spans="1:31" ht="13.9" customHeight="1">
      <c r="A254" s="1586" t="s">
        <v>2800</v>
      </c>
      <c r="B254" s="4" t="s">
        <v>2679</v>
      </c>
      <c r="C254" s="4"/>
      <c r="D254" s="89"/>
      <c r="E254" s="89"/>
      <c r="F254" s="89"/>
      <c r="G254" s="89"/>
      <c r="H254" s="1592"/>
      <c r="I254" s="1592"/>
      <c r="J254" s="1592"/>
      <c r="K254" s="1592"/>
      <c r="L254" s="3227"/>
      <c r="M254" s="3228"/>
      <c r="O254" s="136" t="s">
        <v>1881</v>
      </c>
      <c r="P254" s="3116"/>
      <c r="Q254" s="3117"/>
    </row>
    <row r="255" spans="1:31" ht="4.9000000000000004" customHeight="1">
      <c r="L255" s="3227"/>
      <c r="M255" s="3228"/>
      <c r="N255" s="56"/>
    </row>
    <row r="256" spans="1:31" ht="11.45" customHeight="1">
      <c r="A256" s="48" t="s">
        <v>1999</v>
      </c>
      <c r="B256" s="53" t="s">
        <v>1280</v>
      </c>
      <c r="D256" s="43"/>
      <c r="E256" s="53"/>
      <c r="F256" s="53"/>
      <c r="J256" s="484" t="s">
        <v>1999</v>
      </c>
      <c r="K256" s="3182" t="s">
        <v>1784</v>
      </c>
      <c r="L256" s="3183"/>
      <c r="M256" s="3183"/>
      <c r="N256" s="3183"/>
      <c r="O256" s="3184"/>
      <c r="P256" s="3218" t="s">
        <v>1784</v>
      </c>
      <c r="Q256" s="3219"/>
    </row>
    <row r="257" spans="1:32" ht="11.45" customHeight="1">
      <c r="A257" s="48" t="s">
        <v>2001</v>
      </c>
      <c r="B257" s="53" t="s">
        <v>2830</v>
      </c>
      <c r="D257" s="53"/>
      <c r="E257" s="53"/>
      <c r="F257" s="53"/>
      <c r="J257" s="484" t="s">
        <v>2001</v>
      </c>
      <c r="K257" s="3229"/>
      <c r="L257" s="3230"/>
      <c r="M257" s="3230"/>
      <c r="N257" s="3230"/>
      <c r="O257" s="3231"/>
      <c r="P257" s="3220"/>
      <c r="Q257" s="3221"/>
    </row>
    <row r="258" spans="1:32" s="152" customFormat="1" ht="11.45" customHeight="1">
      <c r="A258" s="48"/>
      <c r="B258" s="53" t="s">
        <v>1960</v>
      </c>
      <c r="D258" s="53"/>
      <c r="E258" s="53"/>
      <c r="F258" s="53"/>
      <c r="K258" s="3208"/>
      <c r="L258" s="3209"/>
      <c r="M258" s="3209"/>
      <c r="N258" s="3209"/>
      <c r="O258" s="3210"/>
      <c r="P258" s="3222"/>
      <c r="Q258" s="3223"/>
      <c r="AE258" s="488"/>
      <c r="AF258" s="488"/>
    </row>
    <row r="259" spans="1:32" s="152" customFormat="1" ht="11.45" customHeight="1">
      <c r="A259" s="48"/>
      <c r="B259" s="53" t="s">
        <v>2560</v>
      </c>
      <c r="D259" s="53"/>
      <c r="E259" s="53"/>
      <c r="F259" s="53"/>
      <c r="G259" s="53"/>
      <c r="H259" s="53"/>
      <c r="I259" s="97"/>
      <c r="J259" s="97"/>
      <c r="M259" s="37"/>
      <c r="N259" s="1091"/>
      <c r="O259" s="484"/>
      <c r="P259" s="2208"/>
      <c r="Q259" s="1005"/>
      <c r="AE259" s="488"/>
      <c r="AF259" s="488"/>
    </row>
    <row r="260" spans="1:32" s="152" customFormat="1" ht="11.45" customHeight="1">
      <c r="A260" s="48" t="s">
        <v>757</v>
      </c>
      <c r="B260" s="53" t="s">
        <v>3786</v>
      </c>
      <c r="D260" s="53"/>
      <c r="E260" s="53"/>
      <c r="F260" s="53"/>
      <c r="M260" s="37"/>
      <c r="N260" s="1091"/>
      <c r="O260" s="484" t="s">
        <v>757</v>
      </c>
      <c r="P260" s="2193"/>
      <c r="Q260" s="561"/>
      <c r="AE260" s="488"/>
      <c r="AF260" s="488"/>
    </row>
    <row r="261" spans="1:32" s="152" customFormat="1" ht="11.45" customHeight="1">
      <c r="A261" s="48"/>
      <c r="B261" s="53" t="s">
        <v>3785</v>
      </c>
      <c r="D261" s="53"/>
      <c r="E261" s="53"/>
      <c r="F261" s="53"/>
      <c r="K261" s="3182"/>
      <c r="L261" s="3183"/>
      <c r="M261" s="3183"/>
      <c r="N261" s="3183"/>
      <c r="O261" s="3184"/>
      <c r="P261" s="3232"/>
      <c r="Q261" s="3233"/>
      <c r="AE261" s="488"/>
      <c r="AF261" s="488"/>
    </row>
    <row r="262" spans="1:32" s="152" customFormat="1" ht="11.45" customHeight="1">
      <c r="A262" s="48" t="s">
        <v>2131</v>
      </c>
      <c r="B262" s="53" t="s">
        <v>3937</v>
      </c>
      <c r="D262" s="53"/>
      <c r="E262" s="53"/>
      <c r="F262" s="53"/>
      <c r="G262" s="53"/>
      <c r="H262" s="53"/>
      <c r="I262" s="97"/>
      <c r="J262" s="97"/>
      <c r="K262" s="97"/>
      <c r="M262" s="37"/>
      <c r="N262" s="1091"/>
      <c r="O262" s="484" t="s">
        <v>2131</v>
      </c>
      <c r="P262" s="2193"/>
      <c r="Q262" s="561"/>
      <c r="AE262" s="488"/>
      <c r="AF262" s="488"/>
    </row>
    <row r="263" spans="1:32" s="152" customFormat="1" ht="11.45" customHeight="1">
      <c r="A263" s="48"/>
      <c r="B263" s="3198" t="s">
        <v>3787</v>
      </c>
      <c r="C263" s="3198"/>
      <c r="D263" s="3198"/>
      <c r="E263" s="3198"/>
      <c r="F263" s="3198"/>
      <c r="G263" s="3198"/>
      <c r="H263" s="446" t="s">
        <v>4163</v>
      </c>
      <c r="K263" s="97"/>
      <c r="M263" s="37"/>
      <c r="N263" s="1091"/>
      <c r="O263" s="68" t="s">
        <v>1750</v>
      </c>
      <c r="P263" s="2196"/>
      <c r="Q263" s="562"/>
      <c r="AE263" s="488"/>
      <c r="AF263" s="488"/>
    </row>
    <row r="264" spans="1:32" s="152" customFormat="1" ht="11.45" customHeight="1">
      <c r="A264" s="48"/>
      <c r="B264" s="3198"/>
      <c r="C264" s="3198"/>
      <c r="D264" s="3198"/>
      <c r="E264" s="3198"/>
      <c r="F264" s="3198"/>
      <c r="G264" s="3198"/>
      <c r="H264" s="56" t="s">
        <v>4164</v>
      </c>
      <c r="K264" s="97"/>
      <c r="M264" s="37"/>
      <c r="N264" s="1091"/>
      <c r="O264" s="68" t="s">
        <v>1751</v>
      </c>
      <c r="P264" s="2196"/>
      <c r="Q264" s="562"/>
      <c r="AE264" s="488"/>
      <c r="AF264" s="488"/>
    </row>
    <row r="265" spans="1:32" s="152" customFormat="1" ht="11.45" customHeight="1">
      <c r="A265" s="48"/>
      <c r="B265" s="53"/>
      <c r="D265" s="53"/>
      <c r="E265" s="53"/>
      <c r="F265" s="53"/>
      <c r="G265" s="53"/>
      <c r="H265" s="56" t="s">
        <v>4165</v>
      </c>
      <c r="K265" s="97"/>
      <c r="M265" s="37"/>
      <c r="N265" s="1091"/>
      <c r="O265" s="68" t="s">
        <v>1752</v>
      </c>
      <c r="P265" s="2196"/>
      <c r="Q265" s="562"/>
      <c r="AE265" s="488"/>
      <c r="AF265" s="488"/>
    </row>
    <row r="266" spans="1:32" s="152" customFormat="1" ht="11.45" customHeight="1">
      <c r="A266" s="48"/>
      <c r="B266" s="53"/>
      <c r="D266" s="53"/>
      <c r="E266" s="53"/>
      <c r="F266" s="53"/>
      <c r="G266" s="53"/>
      <c r="H266" s="56" t="s">
        <v>4166</v>
      </c>
      <c r="K266" s="97"/>
      <c r="M266" s="37"/>
      <c r="N266" s="1091"/>
      <c r="O266" s="484" t="s">
        <v>2381</v>
      </c>
      <c r="P266" s="2192"/>
      <c r="Q266" s="563"/>
      <c r="AE266" s="488"/>
      <c r="AF266" s="488"/>
    </row>
    <row r="267" spans="1:32" s="152" customFormat="1" ht="22.15" customHeight="1">
      <c r="A267" s="146" t="s">
        <v>1748</v>
      </c>
      <c r="B267" s="3198" t="s">
        <v>3938</v>
      </c>
      <c r="C267" s="3198"/>
      <c r="D267" s="3198"/>
      <c r="E267" s="3198"/>
      <c r="F267" s="3198"/>
      <c r="G267" s="3198"/>
      <c r="H267" s="3198"/>
      <c r="I267" s="3198"/>
      <c r="J267" s="3198"/>
      <c r="K267" s="3198"/>
      <c r="L267" s="3198"/>
      <c r="M267" s="3198"/>
      <c r="N267" s="3198"/>
      <c r="O267" s="166" t="s">
        <v>1748</v>
      </c>
      <c r="P267" s="2264"/>
      <c r="Q267" s="1346"/>
      <c r="T267" s="488"/>
      <c r="AE267" s="488"/>
      <c r="AF267" s="488"/>
    </row>
    <row r="268" spans="1:32" ht="11.25" customHeight="1">
      <c r="B268" s="145" t="s">
        <v>3779</v>
      </c>
      <c r="D268" s="145"/>
      <c r="E268" s="145"/>
      <c r="F268" s="145"/>
      <c r="G268" s="145"/>
      <c r="H268" s="41"/>
      <c r="I268" s="1589"/>
      <c r="J268" s="1589"/>
      <c r="K268" s="1589"/>
      <c r="L268" s="1585"/>
      <c r="M268" s="1585"/>
      <c r="N268" s="1585"/>
      <c r="O268" s="1585"/>
      <c r="P268" s="1585"/>
      <c r="Q268" s="955"/>
    </row>
    <row r="269" spans="1:32" ht="13.15" customHeight="1">
      <c r="A269" s="3100" t="s">
        <v>4672</v>
      </c>
      <c r="B269" s="3101"/>
      <c r="C269" s="3101"/>
      <c r="D269" s="3101"/>
      <c r="E269" s="3101"/>
      <c r="F269" s="3101"/>
      <c r="G269" s="3101"/>
      <c r="H269" s="3101"/>
      <c r="I269" s="3101"/>
      <c r="J269" s="3101"/>
      <c r="K269" s="3101"/>
      <c r="L269" s="3101"/>
      <c r="M269" s="3101"/>
      <c r="N269" s="3101"/>
      <c r="O269" s="3101"/>
      <c r="P269" s="3101"/>
      <c r="Q269" s="3102"/>
      <c r="R269" s="461" t="s">
        <v>1266</v>
      </c>
      <c r="S269" s="462"/>
      <c r="U269" s="140"/>
      <c r="V269" s="140"/>
      <c r="W269" s="140"/>
      <c r="X269" s="140"/>
      <c r="Y269" s="140"/>
      <c r="Z269" s="140"/>
      <c r="AA269" s="140"/>
      <c r="AB269" s="140"/>
      <c r="AC269" s="140"/>
      <c r="AD269" s="140"/>
      <c r="AE269" s="486"/>
    </row>
    <row r="270" spans="1:32" ht="10.9" customHeight="1">
      <c r="B270" s="141" t="s">
        <v>1880</v>
      </c>
      <c r="C270" s="142"/>
      <c r="D270" s="1592"/>
      <c r="E270" s="1592"/>
      <c r="F270" s="1592"/>
      <c r="G270" s="1592"/>
      <c r="H270" s="1592"/>
      <c r="I270" s="1592"/>
      <c r="J270" s="1592"/>
      <c r="K270" s="1592"/>
      <c r="L270" s="1592"/>
      <c r="M270" s="1592"/>
      <c r="N270" s="1592"/>
      <c r="O270" s="1592"/>
      <c r="P270" s="1592"/>
      <c r="Q270" s="1592"/>
    </row>
    <row r="271" spans="1:32" ht="13.15" customHeight="1">
      <c r="A271" s="3159"/>
      <c r="B271" s="3160"/>
      <c r="C271" s="3160"/>
      <c r="D271" s="3160"/>
      <c r="E271" s="3160"/>
      <c r="F271" s="3160"/>
      <c r="G271" s="3160"/>
      <c r="H271" s="3160"/>
      <c r="I271" s="3160"/>
      <c r="J271" s="3160"/>
      <c r="K271" s="3160"/>
      <c r="L271" s="3160"/>
      <c r="M271" s="3160"/>
      <c r="N271" s="3160"/>
      <c r="O271" s="3160"/>
      <c r="P271" s="3160"/>
      <c r="Q271" s="3161"/>
    </row>
    <row r="272" spans="1:32" ht="3" customHeight="1">
      <c r="A272" s="1585"/>
      <c r="B272" s="1589"/>
      <c r="C272" s="1592"/>
      <c r="D272" s="1592"/>
      <c r="E272" s="1592"/>
      <c r="F272" s="1592"/>
      <c r="G272" s="1592"/>
      <c r="H272" s="1592"/>
      <c r="I272" s="1592"/>
      <c r="J272" s="1592"/>
      <c r="K272" s="1592"/>
      <c r="L272" s="1592"/>
      <c r="M272" s="1592"/>
      <c r="Q272" s="1585"/>
    </row>
    <row r="273" spans="1:32" ht="13.9" customHeight="1">
      <c r="A273" s="1586" t="s">
        <v>2267</v>
      </c>
      <c r="B273" s="4" t="s">
        <v>2680</v>
      </c>
      <c r="C273" s="4"/>
      <c r="D273" s="89"/>
      <c r="E273" s="89"/>
      <c r="F273" s="89"/>
      <c r="G273" s="89"/>
      <c r="H273" s="1592"/>
      <c r="I273" s="1592"/>
      <c r="J273" s="1592"/>
      <c r="K273" s="1592"/>
      <c r="L273" s="1592"/>
      <c r="M273" s="1592"/>
      <c r="O273" s="136" t="s">
        <v>1881</v>
      </c>
      <c r="P273" s="3116"/>
      <c r="Q273" s="3117"/>
    </row>
    <row r="274" spans="1:32" ht="3" customHeight="1"/>
    <row r="275" spans="1:32" s="429" customFormat="1" ht="21.75" customHeight="1">
      <c r="A275" s="146" t="s">
        <v>1999</v>
      </c>
      <c r="B275" s="3198" t="s">
        <v>3939</v>
      </c>
      <c r="C275" s="3198"/>
      <c r="D275" s="3198"/>
      <c r="E275" s="3198"/>
      <c r="F275" s="3198"/>
      <c r="G275" s="3198"/>
      <c r="H275" s="3198"/>
      <c r="I275" s="3198"/>
      <c r="J275" s="3198"/>
      <c r="K275" s="3198"/>
      <c r="L275" s="3198"/>
      <c r="M275" s="3198"/>
      <c r="N275" s="3198"/>
      <c r="O275" s="166" t="s">
        <v>1999</v>
      </c>
      <c r="P275" s="2236" t="s">
        <v>3010</v>
      </c>
      <c r="Q275" s="1261"/>
      <c r="AE275" s="489"/>
      <c r="AF275" s="489"/>
    </row>
    <row r="276" spans="1:32" s="152" customFormat="1" ht="11.45" customHeight="1">
      <c r="A276" s="48"/>
      <c r="B276" s="53" t="s">
        <v>3782</v>
      </c>
      <c r="D276" s="53"/>
      <c r="E276" s="53"/>
      <c r="F276" s="53"/>
      <c r="G276" s="53"/>
      <c r="H276" s="53"/>
      <c r="I276" s="53"/>
      <c r="J276" s="53"/>
      <c r="K276" s="53"/>
      <c r="L276" s="53"/>
      <c r="M276" s="53"/>
      <c r="O276" s="484"/>
      <c r="P276" s="2192" t="s">
        <v>3010</v>
      </c>
      <c r="Q276" s="563"/>
      <c r="AE276" s="488"/>
      <c r="AF276" s="488"/>
    </row>
    <row r="277" spans="1:32" s="152" customFormat="1" ht="11.45" customHeight="1">
      <c r="A277" s="48" t="s">
        <v>2001</v>
      </c>
      <c r="B277" s="53" t="s">
        <v>3783</v>
      </c>
      <c r="D277" s="53"/>
      <c r="E277" s="53"/>
      <c r="F277" s="53"/>
      <c r="G277" s="53"/>
      <c r="H277" s="53"/>
      <c r="I277" s="53"/>
      <c r="J277" s="53"/>
      <c r="K277" s="53"/>
      <c r="L277" s="53"/>
      <c r="M277" s="53"/>
      <c r="O277" s="484" t="s">
        <v>2001</v>
      </c>
      <c r="P277" s="2192" t="s">
        <v>3010</v>
      </c>
      <c r="Q277" s="563"/>
      <c r="AE277" s="488"/>
      <c r="AF277" s="488"/>
    </row>
    <row r="278" spans="1:32" s="152" customFormat="1" ht="11.45" customHeight="1">
      <c r="A278" s="48" t="s">
        <v>757</v>
      </c>
      <c r="B278" s="53" t="s">
        <v>4167</v>
      </c>
      <c r="D278" s="53"/>
      <c r="E278" s="53"/>
      <c r="F278" s="53"/>
      <c r="G278" s="53"/>
      <c r="H278" s="53"/>
      <c r="I278" s="53"/>
      <c r="J278" s="53"/>
      <c r="K278" s="53"/>
      <c r="L278" s="53"/>
      <c r="M278" s="53"/>
      <c r="O278" s="484" t="s">
        <v>757</v>
      </c>
      <c r="P278" s="2193" t="s">
        <v>3010</v>
      </c>
      <c r="Q278" s="561"/>
      <c r="AE278" s="488"/>
      <c r="AF278" s="488"/>
    </row>
    <row r="279" spans="1:32" s="152" customFormat="1" ht="11.45" customHeight="1">
      <c r="A279" s="48"/>
      <c r="B279" s="53" t="s">
        <v>3784</v>
      </c>
      <c r="D279" s="53"/>
      <c r="E279" s="53"/>
      <c r="F279" s="53"/>
      <c r="G279" s="53"/>
      <c r="H279" s="53"/>
      <c r="I279" s="53"/>
      <c r="J279" s="53"/>
      <c r="K279" s="53"/>
      <c r="L279" s="53"/>
      <c r="M279" s="53"/>
      <c r="O279" s="484"/>
      <c r="P279" s="2192" t="s">
        <v>3010</v>
      </c>
      <c r="Q279" s="563"/>
      <c r="AE279" s="488"/>
      <c r="AF279" s="488"/>
    </row>
    <row r="280" spans="1:32" s="152" customFormat="1" ht="11.45" customHeight="1">
      <c r="A280" s="48" t="s">
        <v>2131</v>
      </c>
      <c r="B280" s="53" t="s">
        <v>4168</v>
      </c>
      <c r="D280" s="53"/>
      <c r="E280" s="53"/>
      <c r="F280" s="53"/>
      <c r="G280" s="53"/>
      <c r="H280" s="53"/>
      <c r="I280" s="53"/>
      <c r="J280" s="53"/>
      <c r="K280" s="53"/>
      <c r="L280" s="53"/>
      <c r="M280" s="53"/>
      <c r="O280" s="484" t="s">
        <v>2131</v>
      </c>
      <c r="P280" s="2192" t="s">
        <v>3010</v>
      </c>
      <c r="Q280" s="563"/>
      <c r="AE280" s="488"/>
      <c r="AF280" s="488"/>
    </row>
    <row r="281" spans="1:32" ht="11.25" customHeight="1">
      <c r="B281" s="145" t="s">
        <v>3779</v>
      </c>
      <c r="D281" s="145"/>
      <c r="E281" s="145"/>
      <c r="F281" s="145"/>
      <c r="G281" s="145"/>
      <c r="H281" s="41"/>
      <c r="I281" s="1589"/>
      <c r="J281" s="1589"/>
      <c r="K281" s="1589"/>
      <c r="L281" s="1585"/>
      <c r="M281" s="1585"/>
      <c r="N281" s="1585"/>
      <c r="O281" s="1585"/>
      <c r="P281" s="1585"/>
      <c r="Q281" s="955"/>
    </row>
    <row r="282" spans="1:32" ht="46.9" customHeight="1">
      <c r="A282" s="3100" t="s">
        <v>4673</v>
      </c>
      <c r="B282" s="3101"/>
      <c r="C282" s="3101"/>
      <c r="D282" s="3101"/>
      <c r="E282" s="3101"/>
      <c r="F282" s="3101"/>
      <c r="G282" s="3101"/>
      <c r="H282" s="3101"/>
      <c r="I282" s="3101"/>
      <c r="J282" s="3101"/>
      <c r="K282" s="3101"/>
      <c r="L282" s="3101"/>
      <c r="M282" s="3101"/>
      <c r="N282" s="3101"/>
      <c r="O282" s="3101"/>
      <c r="P282" s="3101"/>
      <c r="Q282" s="3102"/>
      <c r="R282" s="461" t="s">
        <v>1266</v>
      </c>
      <c r="S282" s="462"/>
      <c r="U282" s="140"/>
      <c r="V282" s="140"/>
      <c r="W282" s="140"/>
      <c r="X282" s="140"/>
      <c r="Y282" s="140"/>
      <c r="Z282" s="140"/>
      <c r="AA282" s="140"/>
      <c r="AB282" s="140"/>
      <c r="AC282" s="140"/>
      <c r="AD282" s="140"/>
      <c r="AE282" s="486"/>
    </row>
    <row r="283" spans="1:32" ht="11.25" customHeight="1">
      <c r="B283" s="141" t="s">
        <v>1880</v>
      </c>
      <c r="C283" s="142"/>
      <c r="D283" s="1592"/>
      <c r="E283" s="1592"/>
      <c r="F283" s="1592"/>
      <c r="G283" s="1592"/>
      <c r="H283" s="1592"/>
      <c r="I283" s="1592"/>
      <c r="J283" s="1592"/>
      <c r="K283" s="1592"/>
      <c r="L283" s="1592"/>
      <c r="M283" s="1592"/>
      <c r="N283" s="1592"/>
      <c r="O283" s="1592"/>
      <c r="P283" s="1592"/>
      <c r="Q283" s="1592"/>
    </row>
    <row r="284" spans="1:32" ht="13.15" customHeight="1">
      <c r="A284" s="3159"/>
      <c r="B284" s="3160"/>
      <c r="C284" s="3160"/>
      <c r="D284" s="3160"/>
      <c r="E284" s="3160"/>
      <c r="F284" s="3160"/>
      <c r="G284" s="3160"/>
      <c r="H284" s="3160"/>
      <c r="I284" s="3160"/>
      <c r="J284" s="3160"/>
      <c r="K284" s="3160"/>
      <c r="L284" s="3160"/>
      <c r="M284" s="3160"/>
      <c r="N284" s="3160"/>
      <c r="O284" s="3160"/>
      <c r="P284" s="3160"/>
      <c r="Q284" s="3161"/>
    </row>
    <row r="285" spans="1:32" ht="13.9" customHeight="1">
      <c r="A285" s="1586" t="s">
        <v>4149</v>
      </c>
      <c r="B285" s="1586" t="s">
        <v>2681</v>
      </c>
      <c r="C285" s="1586"/>
      <c r="D285" s="1592"/>
      <c r="E285" s="1592"/>
      <c r="F285" s="1592"/>
      <c r="G285" s="1592"/>
      <c r="H285" s="1592"/>
      <c r="I285" s="1592"/>
      <c r="J285" s="1592"/>
      <c r="K285" s="1592"/>
      <c r="L285" s="1592"/>
      <c r="M285" s="1592"/>
      <c r="O285" s="136" t="s">
        <v>1881</v>
      </c>
      <c r="P285" s="3116"/>
      <c r="Q285" s="3117"/>
    </row>
    <row r="286" spans="1:32" ht="3" customHeight="1"/>
    <row r="287" spans="1:32" s="429" customFormat="1" ht="21.75" customHeight="1">
      <c r="A287" s="146" t="s">
        <v>1999</v>
      </c>
      <c r="B287" s="3198" t="s">
        <v>2831</v>
      </c>
      <c r="C287" s="3198"/>
      <c r="D287" s="3198"/>
      <c r="E287" s="3198"/>
      <c r="F287" s="3198"/>
      <c r="G287" s="3198"/>
      <c r="H287" s="3198"/>
      <c r="I287" s="3198"/>
      <c r="J287" s="3198"/>
      <c r="K287" s="3198"/>
      <c r="L287" s="3198"/>
      <c r="M287" s="3198"/>
      <c r="N287" s="3198"/>
      <c r="O287" s="166" t="s">
        <v>1999</v>
      </c>
      <c r="P287" s="2236" t="s">
        <v>4599</v>
      </c>
      <c r="Q287" s="1261"/>
      <c r="AE287" s="489"/>
      <c r="AF287" s="489"/>
    </row>
    <row r="288" spans="1:32" s="429" customFormat="1" ht="21.75" customHeight="1">
      <c r="A288" s="146" t="s">
        <v>2001</v>
      </c>
      <c r="B288" s="3198" t="s">
        <v>2832</v>
      </c>
      <c r="C288" s="3198"/>
      <c r="D288" s="3198"/>
      <c r="E288" s="3198"/>
      <c r="F288" s="3198"/>
      <c r="G288" s="3198"/>
      <c r="H288" s="3198"/>
      <c r="I288" s="3198"/>
      <c r="J288" s="3198"/>
      <c r="K288" s="3198"/>
      <c r="L288" s="3198"/>
      <c r="M288" s="3198"/>
      <c r="N288" s="3198"/>
      <c r="O288" s="166" t="s">
        <v>2001</v>
      </c>
      <c r="P288" s="2249" t="s">
        <v>4599</v>
      </c>
      <c r="Q288" s="1282"/>
      <c r="AE288" s="489"/>
      <c r="AF288" s="489"/>
    </row>
    <row r="289" spans="1:33" ht="11.25" customHeight="1">
      <c r="B289" s="145" t="s">
        <v>3779</v>
      </c>
      <c r="D289" s="145"/>
      <c r="E289" s="145"/>
      <c r="F289" s="145"/>
      <c r="G289" s="145"/>
      <c r="H289" s="41"/>
      <c r="I289" s="1589"/>
      <c r="J289" s="1589"/>
      <c r="K289" s="1589"/>
      <c r="L289" s="1585"/>
      <c r="M289" s="1585"/>
      <c r="N289" s="1585"/>
      <c r="O289" s="1585"/>
      <c r="P289" s="1585"/>
      <c r="Q289" s="955"/>
    </row>
    <row r="290" spans="1:33" ht="29.45" customHeight="1">
      <c r="A290" s="3100" t="s">
        <v>4674</v>
      </c>
      <c r="B290" s="3101"/>
      <c r="C290" s="3101"/>
      <c r="D290" s="3101"/>
      <c r="E290" s="3101"/>
      <c r="F290" s="3101"/>
      <c r="G290" s="3101"/>
      <c r="H290" s="3101"/>
      <c r="I290" s="3101"/>
      <c r="J290" s="3101"/>
      <c r="K290" s="3101"/>
      <c r="L290" s="3101"/>
      <c r="M290" s="3101"/>
      <c r="N290" s="3101"/>
      <c r="O290" s="3101"/>
      <c r="P290" s="3101"/>
      <c r="Q290" s="3102"/>
      <c r="R290" s="461" t="s">
        <v>1266</v>
      </c>
      <c r="S290" s="462"/>
      <c r="U290" s="140"/>
      <c r="V290" s="140"/>
      <c r="W290" s="140"/>
      <c r="X290" s="140"/>
      <c r="Y290" s="140"/>
      <c r="Z290" s="140"/>
      <c r="AA290" s="140"/>
      <c r="AB290" s="140"/>
      <c r="AC290" s="140"/>
      <c r="AD290" s="140"/>
      <c r="AE290" s="486"/>
    </row>
    <row r="291" spans="1:33" ht="11.25" customHeight="1">
      <c r="B291" s="141" t="s">
        <v>1880</v>
      </c>
      <c r="C291" s="142"/>
      <c r="D291" s="1592"/>
      <c r="E291" s="1592"/>
      <c r="F291" s="1592"/>
      <c r="G291" s="1592"/>
      <c r="H291" s="1592"/>
      <c r="I291" s="1592"/>
      <c r="J291" s="1592"/>
      <c r="K291" s="1592"/>
      <c r="L291" s="1592"/>
      <c r="M291" s="1592"/>
      <c r="N291" s="1592"/>
      <c r="O291" s="1592"/>
      <c r="P291" s="1592"/>
      <c r="Q291" s="1592"/>
    </row>
    <row r="292" spans="1:33" ht="13.15" customHeight="1">
      <c r="A292" s="3159"/>
      <c r="B292" s="3160"/>
      <c r="C292" s="3160"/>
      <c r="D292" s="3160"/>
      <c r="E292" s="3160"/>
      <c r="F292" s="3160"/>
      <c r="G292" s="3160"/>
      <c r="H292" s="3160"/>
      <c r="I292" s="3160"/>
      <c r="J292" s="3160"/>
      <c r="K292" s="3160"/>
      <c r="L292" s="3160"/>
      <c r="M292" s="3160"/>
      <c r="N292" s="3160"/>
      <c r="O292" s="3160"/>
      <c r="P292" s="3160"/>
      <c r="Q292" s="3161"/>
    </row>
    <row r="293" spans="1:33" ht="13.9" customHeight="1">
      <c r="A293" s="1586" t="s">
        <v>4150</v>
      </c>
      <c r="B293" s="1586" t="s">
        <v>2682</v>
      </c>
      <c r="C293" s="153"/>
      <c r="D293" s="1598"/>
      <c r="E293" s="1592"/>
      <c r="F293" s="1592"/>
      <c r="G293" s="1592"/>
      <c r="H293" s="1592"/>
      <c r="I293" s="1592"/>
      <c r="J293" s="1592"/>
      <c r="K293" s="1592"/>
      <c r="L293" s="1592"/>
      <c r="M293" s="1592"/>
      <c r="O293" s="136" t="s">
        <v>1881</v>
      </c>
      <c r="P293" s="3116"/>
      <c r="Q293" s="3117"/>
    </row>
    <row r="294" spans="1:33" ht="12.75" customHeight="1">
      <c r="A294" s="15" t="s">
        <v>1999</v>
      </c>
      <c r="B294" s="1586" t="s">
        <v>4169</v>
      </c>
    </row>
    <row r="295" spans="1:33" s="152" customFormat="1" ht="44.25" customHeight="1">
      <c r="A295" s="146"/>
      <c r="B295" s="154" t="s">
        <v>1750</v>
      </c>
      <c r="C295" s="3198" t="s">
        <v>3941</v>
      </c>
      <c r="D295" s="3198"/>
      <c r="E295" s="3198"/>
      <c r="F295" s="3198"/>
      <c r="G295" s="3198"/>
      <c r="H295" s="3198"/>
      <c r="I295" s="3198"/>
      <c r="J295" s="3198"/>
      <c r="K295" s="3198"/>
      <c r="L295" s="3198"/>
      <c r="M295" s="3198"/>
      <c r="N295" s="3198"/>
      <c r="O295" s="166" t="s">
        <v>2744</v>
      </c>
      <c r="P295" s="2236" t="s">
        <v>3010</v>
      </c>
      <c r="Q295" s="1261"/>
      <c r="AE295" s="488"/>
      <c r="AF295" s="488"/>
    </row>
    <row r="296" spans="1:33" s="429" customFormat="1" ht="12" customHeight="1">
      <c r="A296" s="146"/>
      <c r="B296" s="154" t="s">
        <v>1751</v>
      </c>
      <c r="C296" s="3198" t="s">
        <v>3942</v>
      </c>
      <c r="D296" s="3198"/>
      <c r="E296" s="3198"/>
      <c r="F296" s="3198"/>
      <c r="G296" s="3198"/>
      <c r="H296" s="3198"/>
      <c r="I296" s="3198"/>
      <c r="J296" s="3198"/>
      <c r="K296" s="3198"/>
      <c r="L296" s="3198"/>
      <c r="M296" s="3198"/>
      <c r="N296" s="3198"/>
      <c r="O296" s="154" t="s">
        <v>1751</v>
      </c>
      <c r="P296" s="2262" t="s">
        <v>3010</v>
      </c>
      <c r="Q296" s="564"/>
      <c r="AE296" s="489"/>
      <c r="AF296" s="489"/>
    </row>
    <row r="297" spans="1:33" s="429" customFormat="1" ht="21.75" customHeight="1">
      <c r="A297" s="146"/>
      <c r="B297" s="166" t="s">
        <v>1752</v>
      </c>
      <c r="C297" s="3198" t="s">
        <v>3940</v>
      </c>
      <c r="D297" s="3198"/>
      <c r="E297" s="3198"/>
      <c r="F297" s="3198"/>
      <c r="G297" s="3198"/>
      <c r="H297" s="3198"/>
      <c r="I297" s="3198"/>
      <c r="J297" s="3198"/>
      <c r="K297" s="3198"/>
      <c r="L297" s="3198"/>
      <c r="M297" s="3198"/>
      <c r="N297" s="3198"/>
      <c r="O297" s="166" t="s">
        <v>1752</v>
      </c>
      <c r="P297" s="2249" t="s">
        <v>3010</v>
      </c>
      <c r="Q297" s="1282"/>
      <c r="AE297" s="489"/>
      <c r="AF297" s="489"/>
    </row>
    <row r="298" spans="1:33" s="97" customFormat="1" ht="12.75" customHeight="1">
      <c r="A298" s="15" t="s">
        <v>2001</v>
      </c>
      <c r="B298" s="1586" t="s">
        <v>3906</v>
      </c>
      <c r="D298" s="1352"/>
      <c r="E298" s="1352"/>
      <c r="F298" s="1352"/>
      <c r="G298" s="1352"/>
      <c r="H298" s="1352"/>
      <c r="I298" s="1352"/>
      <c r="J298" s="1352"/>
      <c r="K298" s="1352"/>
      <c r="L298" s="1352"/>
      <c r="M298" s="1352"/>
      <c r="N298" s="1352"/>
      <c r="O298" s="484"/>
      <c r="P298" s="484"/>
      <c r="Q298" s="484"/>
      <c r="AE298" s="490"/>
    </row>
    <row r="299" spans="1:33" s="97" customFormat="1" ht="11.25" customHeight="1">
      <c r="A299" s="182"/>
      <c r="B299" s="154" t="s">
        <v>1750</v>
      </c>
      <c r="C299" s="3198" t="s">
        <v>3776</v>
      </c>
      <c r="D299" s="3198"/>
      <c r="E299" s="3198"/>
      <c r="F299" s="3198"/>
      <c r="G299" s="3198"/>
      <c r="H299" s="3198"/>
      <c r="I299" s="144"/>
      <c r="J299" s="3278" t="s">
        <v>3822</v>
      </c>
      <c r="K299" s="3279"/>
      <c r="L299" s="3279"/>
      <c r="M299" s="3280" t="s">
        <v>3789</v>
      </c>
      <c r="N299" s="3280"/>
      <c r="AE299" s="490"/>
      <c r="AF299" s="490"/>
    </row>
    <row r="300" spans="1:33" s="305" customFormat="1" ht="10.5" customHeight="1">
      <c r="A300" s="317"/>
      <c r="C300" s="3198"/>
      <c r="D300" s="3198"/>
      <c r="E300" s="3198"/>
      <c r="F300" s="3198"/>
      <c r="G300" s="3198"/>
      <c r="H300" s="3198"/>
      <c r="I300" s="1571"/>
      <c r="J300" s="3279"/>
      <c r="K300" s="3279"/>
      <c r="L300" s="3279"/>
      <c r="M300" s="37" t="s">
        <v>3790</v>
      </c>
      <c r="N300" s="1589" t="s">
        <v>3821</v>
      </c>
      <c r="P300" s="315"/>
    </row>
    <row r="301" spans="1:33" s="305" customFormat="1" ht="13.15" customHeight="1">
      <c r="A301" s="317"/>
      <c r="C301" s="3198"/>
      <c r="D301" s="3198"/>
      <c r="E301" s="3198"/>
      <c r="F301" s="3198"/>
      <c r="G301" s="3198"/>
      <c r="H301" s="3198"/>
      <c r="I301" s="53" t="s">
        <v>4170</v>
      </c>
      <c r="K301" s="2265">
        <v>4</v>
      </c>
      <c r="L301" s="1086" t="str">
        <f>IF(K301&lt;M301,"Check!!!","")</f>
        <v/>
      </c>
      <c r="M301" s="1087">
        <f>ROUNDUP('Part VI-Revenues &amp; Expenses'!$O$62*'Part VIII-Threshold Criteria'!N301,0)</f>
        <v>4</v>
      </c>
      <c r="N301" s="1092">
        <f>'DCA Underwriting Assumptions'!$Q$136</f>
        <v>0.05</v>
      </c>
      <c r="O301" s="484" t="s">
        <v>3665</v>
      </c>
      <c r="P301" s="2209" t="s">
        <v>3010</v>
      </c>
      <c r="Q301" s="560"/>
      <c r="V301" s="37"/>
      <c r="X301" s="37"/>
      <c r="Z301" s="1086" t="str">
        <f>IF(AA301="","",IF(AA301&lt;AC301,"Check!!!",""))</f>
        <v/>
      </c>
      <c r="AA301" s="1086" t="str">
        <f t="shared" ref="AA301:AG301" si="0">IF(AB301="","",IF(AB301&lt;AD301,"Check!!!",""))</f>
        <v/>
      </c>
      <c r="AB301" s="1086" t="str">
        <f t="shared" si="0"/>
        <v/>
      </c>
      <c r="AC301" s="1086" t="str">
        <f t="shared" si="0"/>
        <v/>
      </c>
      <c r="AD301" s="1086" t="str">
        <f t="shared" si="0"/>
        <v/>
      </c>
      <c r="AE301" s="1086" t="str">
        <f t="shared" si="0"/>
        <v/>
      </c>
      <c r="AF301" s="1086" t="str">
        <f t="shared" si="0"/>
        <v/>
      </c>
      <c r="AG301" s="1086" t="str">
        <f t="shared" si="0"/>
        <v/>
      </c>
    </row>
    <row r="302" spans="1:33" s="305" customFormat="1" ht="3" customHeight="1">
      <c r="A302" s="317"/>
      <c r="C302" s="1560"/>
      <c r="E302" s="1560"/>
      <c r="F302" s="1560"/>
      <c r="G302" s="1560"/>
      <c r="K302" s="1571"/>
      <c r="L302" s="1559"/>
      <c r="M302" s="1570"/>
      <c r="P302" s="315"/>
      <c r="T302" s="1560"/>
      <c r="U302" s="1560"/>
      <c r="V302" s="1560"/>
      <c r="W302" s="1560"/>
      <c r="Y302" s="1571"/>
    </row>
    <row r="303" spans="1:33" s="97" customFormat="1" ht="12.75" customHeight="1">
      <c r="A303" s="146"/>
      <c r="B303" s="154"/>
      <c r="C303" s="3198" t="s">
        <v>3777</v>
      </c>
      <c r="D303" s="3198"/>
      <c r="E303" s="3198"/>
      <c r="F303" s="3198"/>
      <c r="G303" s="3198"/>
      <c r="H303" s="3198"/>
      <c r="I303" s="938" t="s">
        <v>4171</v>
      </c>
      <c r="J303" s="305"/>
      <c r="K303" s="2265">
        <v>4</v>
      </c>
      <c r="L303" s="1086" t="str">
        <f>IF(K303&lt;M303,"Check!!!","")</f>
        <v/>
      </c>
      <c r="M303" s="1087">
        <f>ROUNDUP(K301*'Part VIII-Threshold Criteria'!N303,0)</f>
        <v>2</v>
      </c>
      <c r="N303" s="1092">
        <f>'DCA Underwriting Assumptions'!$Q$137</f>
        <v>0.4</v>
      </c>
      <c r="O303" s="484" t="s">
        <v>2133</v>
      </c>
      <c r="P303" s="2209" t="s">
        <v>3010</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3198"/>
      <c r="D304" s="3198"/>
      <c r="E304" s="3198"/>
      <c r="F304" s="3198"/>
      <c r="G304" s="3198"/>
      <c r="H304" s="3198"/>
      <c r="O304" s="41"/>
      <c r="P304" s="484"/>
      <c r="V304" s="37"/>
      <c r="W304" s="938"/>
      <c r="X304" s="37"/>
      <c r="Z304" s="1086" t="str">
        <f>IF(AA304="","",IF(AA304&lt;AC304,"Check!!!",""))</f>
        <v/>
      </c>
      <c r="AA304" s="1086" t="str">
        <f t="shared" ref="AA304:AG304" si="1">IF(AB304="","",IF(AB304&lt;AD304,"Check!!!",""))</f>
        <v/>
      </c>
      <c r="AB304" s="1086" t="str">
        <f t="shared" si="1"/>
        <v/>
      </c>
      <c r="AC304" s="1086" t="str">
        <f t="shared" si="1"/>
        <v/>
      </c>
      <c r="AD304" s="1086" t="str">
        <f t="shared" si="1"/>
        <v/>
      </c>
      <c r="AE304" s="1086" t="str">
        <f t="shared" si="1"/>
        <v/>
      </c>
      <c r="AF304" s="1086" t="str">
        <f t="shared" si="1"/>
        <v/>
      </c>
      <c r="AG304" s="1086" t="str">
        <f t="shared" si="1"/>
        <v/>
      </c>
    </row>
    <row r="305" spans="1:33" s="97" customFormat="1" ht="12.75" customHeight="1">
      <c r="A305" s="146"/>
      <c r="B305" s="154" t="s">
        <v>1751</v>
      </c>
      <c r="C305" s="3198" t="s">
        <v>3778</v>
      </c>
      <c r="D305" s="3198"/>
      <c r="E305" s="3198"/>
      <c r="F305" s="3198"/>
      <c r="G305" s="3198"/>
      <c r="H305" s="3198"/>
      <c r="I305" s="53" t="s">
        <v>4172</v>
      </c>
      <c r="J305" s="305"/>
      <c r="K305" s="2265">
        <v>2</v>
      </c>
      <c r="L305" s="1086" t="str">
        <f>IF(K305&lt;M305,"Check!!!","")</f>
        <v/>
      </c>
      <c r="M305" s="1087">
        <f>ROUNDUP('Part VI-Revenues &amp; Expenses'!$O$62*'Part VIII-Threshold Criteria'!N305,0)</f>
        <v>2</v>
      </c>
      <c r="N305" s="1092">
        <f>'DCA Underwriting Assumptions'!$Q$138</f>
        <v>0.02</v>
      </c>
      <c r="O305" s="484" t="s">
        <v>1751</v>
      </c>
      <c r="P305" s="2209" t="s">
        <v>3010</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3198"/>
      <c r="D306" s="3198"/>
      <c r="E306" s="3198"/>
      <c r="F306" s="3198"/>
      <c r="G306" s="3198"/>
      <c r="H306" s="3198"/>
      <c r="J306" s="37"/>
      <c r="K306" s="37"/>
      <c r="L306" s="956"/>
      <c r="M306" s="1593"/>
      <c r="O306" s="37"/>
      <c r="P306" s="1589"/>
      <c r="Q306" s="37"/>
      <c r="T306" s="37"/>
      <c r="U306" s="938"/>
      <c r="V306" s="37"/>
      <c r="W306" s="938"/>
      <c r="X306" s="37"/>
      <c r="Y306" s="37"/>
      <c r="Z306" s="37"/>
      <c r="AA306" s="37"/>
      <c r="AB306" s="37"/>
      <c r="AC306" s="37"/>
      <c r="AD306" s="37"/>
      <c r="AE306" s="37"/>
      <c r="AF306" s="37"/>
      <c r="AG306" s="37"/>
    </row>
    <row r="307" spans="1:33" s="305" customFormat="1" ht="10.5" customHeight="1">
      <c r="A307" s="317"/>
      <c r="C307" s="3198"/>
      <c r="D307" s="3198"/>
      <c r="E307" s="3198"/>
      <c r="F307" s="3198"/>
      <c r="G307" s="3198"/>
      <c r="H307" s="3198"/>
      <c r="O307" s="41"/>
      <c r="P307" s="484"/>
      <c r="V307" s="37"/>
      <c r="W307" s="938"/>
      <c r="X307" s="37"/>
      <c r="Z307" s="1086" t="str">
        <f>IF(AA307="","",IF(AA307&lt;AC307,"Check!!!",""))</f>
        <v/>
      </c>
      <c r="AA307" s="1086" t="str">
        <f t="shared" ref="AA307:AG307" si="2">IF(AB307="","",IF(AB307&lt;AD307,"Check!!!",""))</f>
        <v/>
      </c>
      <c r="AB307" s="1086" t="str">
        <f t="shared" si="2"/>
        <v/>
      </c>
      <c r="AC307" s="1086" t="str">
        <f t="shared" si="2"/>
        <v/>
      </c>
      <c r="AD307" s="1086" t="str">
        <f t="shared" si="2"/>
        <v/>
      </c>
      <c r="AE307" s="1086" t="str">
        <f t="shared" si="2"/>
        <v/>
      </c>
      <c r="AF307" s="1086" t="str">
        <f t="shared" si="2"/>
        <v/>
      </c>
      <c r="AG307" s="1086" t="str">
        <f t="shared" si="2"/>
        <v/>
      </c>
    </row>
    <row r="308" spans="1:33" s="305" customFormat="1" ht="10.5" customHeight="1">
      <c r="A308" s="15" t="s">
        <v>757</v>
      </c>
      <c r="B308" s="1586" t="s">
        <v>3907</v>
      </c>
      <c r="D308" s="1592"/>
      <c r="E308" s="1592"/>
      <c r="F308" s="1592"/>
      <c r="G308" s="1592"/>
      <c r="H308" s="1592"/>
      <c r="O308" s="41"/>
      <c r="P308" s="484"/>
      <c r="V308" s="37"/>
      <c r="W308" s="938"/>
      <c r="X308" s="37"/>
      <c r="Z308" s="1086"/>
      <c r="AA308" s="1086"/>
      <c r="AB308" s="1086"/>
      <c r="AC308" s="1086"/>
      <c r="AD308" s="1086"/>
      <c r="AE308" s="1086"/>
      <c r="AF308" s="1086"/>
      <c r="AG308" s="1086"/>
    </row>
    <row r="309" spans="1:33" s="97" customFormat="1" ht="21.75" customHeight="1">
      <c r="B309" s="3271" t="s">
        <v>3667</v>
      </c>
      <c r="C309" s="3271"/>
      <c r="D309" s="3271"/>
      <c r="E309" s="3271"/>
      <c r="F309" s="3271"/>
      <c r="G309" s="3271"/>
      <c r="H309" s="3271"/>
      <c r="I309" s="3271"/>
      <c r="J309" s="3271"/>
      <c r="K309" s="3271"/>
      <c r="L309" s="3271"/>
      <c r="M309" s="3271"/>
      <c r="N309" s="3271"/>
      <c r="O309" s="166" t="s">
        <v>757</v>
      </c>
      <c r="P309" s="2235" t="s">
        <v>3010</v>
      </c>
      <c r="Q309" s="1262"/>
      <c r="AE309" s="490"/>
      <c r="AF309" s="490"/>
    </row>
    <row r="310" spans="1:33" s="97" customFormat="1" ht="11.25" customHeight="1">
      <c r="B310" s="405" t="s">
        <v>3668</v>
      </c>
      <c r="D310" s="405"/>
      <c r="E310" s="405"/>
      <c r="F310" s="405"/>
      <c r="G310" s="405"/>
      <c r="H310" s="405"/>
      <c r="I310" s="405" t="s">
        <v>3788</v>
      </c>
      <c r="J310" s="405"/>
      <c r="K310" s="405"/>
      <c r="L310" s="3283" t="s">
        <v>4658</v>
      </c>
      <c r="M310" s="3284"/>
      <c r="N310" s="3285"/>
      <c r="O310" s="405"/>
      <c r="P310" s="405"/>
      <c r="Q310" s="405"/>
      <c r="R310" s="405"/>
      <c r="AE310" s="490"/>
      <c r="AF310" s="490"/>
    </row>
    <row r="311" spans="1:33" s="429" customFormat="1" ht="44.25" customHeight="1">
      <c r="B311" s="154" t="s">
        <v>1750</v>
      </c>
      <c r="C311" s="3198" t="s">
        <v>3666</v>
      </c>
      <c r="D311" s="3198"/>
      <c r="E311" s="3198"/>
      <c r="F311" s="3198"/>
      <c r="G311" s="3198"/>
      <c r="H311" s="3198"/>
      <c r="I311" s="3198"/>
      <c r="J311" s="3198"/>
      <c r="K311" s="3198"/>
      <c r="L311" s="3198"/>
      <c r="M311" s="3198"/>
      <c r="N311" s="3198"/>
      <c r="O311" s="166" t="s">
        <v>3671</v>
      </c>
      <c r="P311" s="2236" t="s">
        <v>3010</v>
      </c>
      <c r="Q311" s="1261"/>
      <c r="AE311" s="489"/>
      <c r="AF311" s="489"/>
    </row>
    <row r="312" spans="1:33" s="429" customFormat="1" ht="11.25" customHeight="1">
      <c r="B312" s="154" t="s">
        <v>1751</v>
      </c>
      <c r="C312" s="3198" t="s">
        <v>3711</v>
      </c>
      <c r="D312" s="3198"/>
      <c r="E312" s="3198"/>
      <c r="F312" s="3198"/>
      <c r="G312" s="3198"/>
      <c r="H312" s="3198"/>
      <c r="I312" s="3198"/>
      <c r="J312" s="3198"/>
      <c r="K312" s="3198"/>
      <c r="L312" s="3198"/>
      <c r="M312" s="3198"/>
      <c r="N312" s="3198"/>
      <c r="O312" s="166" t="s">
        <v>3672</v>
      </c>
      <c r="P312" s="2262" t="s">
        <v>3010</v>
      </c>
      <c r="Q312" s="564"/>
      <c r="AE312" s="489"/>
      <c r="AF312" s="489"/>
    </row>
    <row r="313" spans="1:33" s="429" customFormat="1" ht="34.5" customHeight="1">
      <c r="B313" s="166" t="s">
        <v>1752</v>
      </c>
      <c r="C313" s="3198" t="s">
        <v>3669</v>
      </c>
      <c r="D313" s="3198"/>
      <c r="E313" s="3198"/>
      <c r="F313" s="3198"/>
      <c r="G313" s="3198"/>
      <c r="H313" s="3198"/>
      <c r="I313" s="3198"/>
      <c r="J313" s="3198"/>
      <c r="K313" s="3198"/>
      <c r="L313" s="3198"/>
      <c r="M313" s="3198"/>
      <c r="N313" s="3198"/>
      <c r="O313" s="166" t="s">
        <v>3673</v>
      </c>
      <c r="P313" s="2262" t="s">
        <v>3010</v>
      </c>
      <c r="Q313" s="564"/>
      <c r="AE313" s="489"/>
      <c r="AF313" s="489"/>
    </row>
    <row r="314" spans="1:33" s="429" customFormat="1" ht="32.25" customHeight="1">
      <c r="B314" s="166" t="s">
        <v>2381</v>
      </c>
      <c r="C314" s="3198" t="s">
        <v>3670</v>
      </c>
      <c r="D314" s="3198"/>
      <c r="E314" s="3198"/>
      <c r="F314" s="3198"/>
      <c r="G314" s="3198"/>
      <c r="H314" s="3198"/>
      <c r="I314" s="3198"/>
      <c r="J314" s="3198"/>
      <c r="K314" s="3198"/>
      <c r="L314" s="3198"/>
      <c r="M314" s="3198"/>
      <c r="N314" s="3198"/>
      <c r="O314" s="166" t="s">
        <v>3674</v>
      </c>
      <c r="P314" s="2249" t="s">
        <v>3010</v>
      </c>
      <c r="Q314" s="1282"/>
      <c r="AE314" s="489"/>
      <c r="AF314" s="489"/>
    </row>
    <row r="315" spans="1:33" ht="11.25" customHeight="1">
      <c r="B315" s="145" t="s">
        <v>3779</v>
      </c>
      <c r="D315" s="145"/>
      <c r="E315" s="145"/>
      <c r="F315" s="145"/>
      <c r="G315" s="145"/>
      <c r="H315" s="41"/>
      <c r="I315" s="1589"/>
      <c r="J315" s="1589"/>
      <c r="K315" s="1589"/>
      <c r="L315" s="1585"/>
      <c r="M315" s="1585"/>
      <c r="N315" s="1585"/>
      <c r="O315" s="1585"/>
      <c r="P315" s="1585"/>
      <c r="Q315" s="955"/>
    </row>
    <row r="316" spans="1:33" ht="32.25" customHeight="1">
      <c r="A316" s="3100" t="s">
        <v>4676</v>
      </c>
      <c r="B316" s="3101"/>
      <c r="C316" s="3101"/>
      <c r="D316" s="3101"/>
      <c r="E316" s="3101"/>
      <c r="F316" s="3101"/>
      <c r="G316" s="3101"/>
      <c r="H316" s="3101"/>
      <c r="I316" s="3101"/>
      <c r="J316" s="3101"/>
      <c r="K316" s="3101"/>
      <c r="L316" s="3101"/>
      <c r="M316" s="3101"/>
      <c r="N316" s="3101"/>
      <c r="O316" s="3101"/>
      <c r="P316" s="3101"/>
      <c r="Q316" s="3102"/>
      <c r="R316" s="461" t="s">
        <v>1266</v>
      </c>
      <c r="S316" s="462"/>
      <c r="U316" s="140"/>
      <c r="V316" s="140"/>
      <c r="W316" s="140"/>
      <c r="X316" s="140"/>
      <c r="Y316" s="140"/>
      <c r="Z316" s="140"/>
      <c r="AA316" s="140"/>
      <c r="AB316" s="140"/>
      <c r="AC316" s="140"/>
      <c r="AD316" s="140"/>
      <c r="AE316" s="486"/>
    </row>
    <row r="317" spans="1:33" ht="11.25" customHeight="1">
      <c r="B317" s="141" t="s">
        <v>1880</v>
      </c>
      <c r="C317" s="142"/>
      <c r="D317" s="1592"/>
      <c r="E317" s="1592"/>
      <c r="F317" s="1592"/>
      <c r="G317" s="1592"/>
      <c r="H317" s="1592"/>
      <c r="I317" s="1592"/>
      <c r="J317" s="1592"/>
      <c r="K317" s="1592"/>
      <c r="L317" s="1592"/>
      <c r="M317" s="1592"/>
      <c r="N317" s="1592"/>
      <c r="O317" s="1592"/>
      <c r="P317" s="1592"/>
      <c r="Q317" s="1592"/>
    </row>
    <row r="318" spans="1:33" ht="45.75" customHeight="1">
      <c r="A318" s="3242"/>
      <c r="B318" s="3243"/>
      <c r="C318" s="3243"/>
      <c r="D318" s="3243"/>
      <c r="E318" s="3243"/>
      <c r="F318" s="3243"/>
      <c r="G318" s="3243"/>
      <c r="H318" s="3243"/>
      <c r="I318" s="3243"/>
      <c r="J318" s="3243"/>
      <c r="K318" s="3243"/>
      <c r="L318" s="3243"/>
      <c r="M318" s="3243"/>
      <c r="N318" s="3243"/>
      <c r="O318" s="3243"/>
      <c r="P318" s="3243"/>
      <c r="Q318" s="3244"/>
    </row>
    <row r="319" spans="1:33" ht="13.9" customHeight="1">
      <c r="A319" s="1586" t="s">
        <v>4148</v>
      </c>
      <c r="B319" s="10" t="s">
        <v>2683</v>
      </c>
      <c r="C319" s="10"/>
      <c r="D319" s="10"/>
      <c r="E319" s="10"/>
      <c r="F319" s="10"/>
      <c r="G319" s="10"/>
      <c r="H319" s="1592"/>
      <c r="I319" s="1592"/>
      <c r="J319" s="1592"/>
      <c r="K319" s="1592"/>
      <c r="L319" s="1592"/>
      <c r="M319" s="1592"/>
      <c r="O319" s="136" t="s">
        <v>1881</v>
      </c>
      <c r="P319" s="3245"/>
      <c r="Q319" s="3246"/>
    </row>
    <row r="320" spans="1:33" ht="11.45" customHeight="1">
      <c r="B320" s="149" t="s">
        <v>2268</v>
      </c>
      <c r="P320" s="2193" t="s">
        <v>3013</v>
      </c>
      <c r="Q320" s="561"/>
    </row>
    <row r="321" spans="1:256 1523:1523" ht="12" customHeight="1">
      <c r="B321" s="932" t="s">
        <v>2227</v>
      </c>
      <c r="C321" s="932"/>
      <c r="D321" s="932"/>
      <c r="E321" s="932"/>
      <c r="F321" s="932"/>
      <c r="G321" s="932"/>
      <c r="H321" s="932"/>
      <c r="I321" s="932"/>
      <c r="J321" s="932"/>
      <c r="K321" s="932"/>
      <c r="L321" s="932"/>
      <c r="P321" s="2192" t="s">
        <v>3010</v>
      </c>
      <c r="Q321" s="563"/>
    </row>
    <row r="322" spans="1:256 1523:1523" ht="11.45" customHeight="1">
      <c r="A322" s="146" t="s">
        <v>1999</v>
      </c>
      <c r="B322" s="187" t="s">
        <v>463</v>
      </c>
      <c r="D322" s="956"/>
      <c r="E322" s="956"/>
      <c r="F322" s="956"/>
      <c r="G322" s="956"/>
      <c r="H322" s="956"/>
      <c r="I322" s="956"/>
      <c r="J322" s="956"/>
      <c r="K322" s="956"/>
      <c r="L322" s="956"/>
      <c r="M322" s="956"/>
      <c r="N322" s="166"/>
    </row>
    <row r="323" spans="1:256 1523:1523" ht="22.5" customHeight="1">
      <c r="B323" s="3198" t="s">
        <v>2899</v>
      </c>
      <c r="C323" s="3198"/>
      <c r="D323" s="3198"/>
      <c r="E323" s="3198"/>
      <c r="F323" s="3198"/>
      <c r="G323" s="3198"/>
      <c r="H323" s="3198"/>
      <c r="I323" s="3198"/>
      <c r="J323" s="3198"/>
      <c r="K323" s="3198"/>
      <c r="L323" s="3198"/>
      <c r="M323" s="3198"/>
      <c r="N323" s="3198"/>
      <c r="O323" s="166" t="s">
        <v>1999</v>
      </c>
      <c r="P323" s="2266"/>
      <c r="Q323" s="567"/>
    </row>
    <row r="324" spans="1:256 1523:1523" ht="12.6" customHeight="1">
      <c r="A324" s="146" t="s">
        <v>2001</v>
      </c>
      <c r="B324" s="222" t="s">
        <v>464</v>
      </c>
      <c r="D324" s="222"/>
      <c r="E324" s="222"/>
      <c r="F324" s="222"/>
      <c r="G324" s="222"/>
      <c r="H324" s="222"/>
      <c r="I324" s="222"/>
      <c r="J324" s="222"/>
      <c r="K324" s="222"/>
      <c r="L324" s="222"/>
      <c r="M324" s="222"/>
      <c r="O324" s="166" t="s">
        <v>2001</v>
      </c>
      <c r="P324" s="1585"/>
      <c r="Q324" s="955"/>
    </row>
    <row r="325" spans="1:256 1523:1523" ht="34.5" customHeight="1">
      <c r="B325" s="220" t="s">
        <v>1750</v>
      </c>
      <c r="C325" s="221" t="s">
        <v>1141</v>
      </c>
      <c r="E325" s="137"/>
      <c r="F325" s="137"/>
      <c r="G325" s="3237" t="s">
        <v>3944</v>
      </c>
      <c r="H325" s="3238"/>
      <c r="I325" s="3238"/>
      <c r="J325" s="3238"/>
      <c r="K325" s="3238"/>
      <c r="L325" s="3238"/>
      <c r="M325" s="3238"/>
      <c r="N325" s="3239"/>
      <c r="O325" s="224" t="s">
        <v>1750</v>
      </c>
      <c r="P325" s="2236" t="s">
        <v>3010</v>
      </c>
      <c r="Q325" s="1261"/>
      <c r="BFO325" s="152" t="s">
        <v>2745</v>
      </c>
    </row>
    <row r="326" spans="1:256 1523:1523" ht="23.25" customHeight="1">
      <c r="B326" s="220" t="s">
        <v>1751</v>
      </c>
      <c r="C326" s="3198" t="s">
        <v>1142</v>
      </c>
      <c r="D326" s="3198"/>
      <c r="E326" s="3198"/>
      <c r="F326" s="3281"/>
      <c r="G326" s="3224" t="s">
        <v>3791</v>
      </c>
      <c r="H326" s="3240"/>
      <c r="I326" s="3240"/>
      <c r="J326" s="3240"/>
      <c r="K326" s="3240"/>
      <c r="L326" s="3240"/>
      <c r="M326" s="3240"/>
      <c r="N326" s="3241"/>
      <c r="O326" s="224" t="s">
        <v>1751</v>
      </c>
      <c r="P326" s="2249" t="s">
        <v>3010</v>
      </c>
      <c r="Q326" s="1282"/>
    </row>
    <row r="327" spans="1:256 1523:1523" ht="3" customHeight="1">
      <c r="A327" s="1585"/>
      <c r="C327" s="1585"/>
      <c r="D327" s="1585"/>
      <c r="E327" s="1585"/>
      <c r="F327" s="1585"/>
      <c r="G327" s="1585"/>
      <c r="H327" s="1585"/>
      <c r="I327" s="1585"/>
      <c r="J327" s="1585"/>
      <c r="K327" s="1585"/>
      <c r="L327" s="1585"/>
      <c r="M327" s="1585"/>
      <c r="N327" s="1585"/>
      <c r="O327" s="1585"/>
      <c r="P327" s="1585"/>
      <c r="Q327" s="1585"/>
      <c r="R327" s="1585"/>
      <c r="S327" s="1585"/>
      <c r="T327" s="1585"/>
      <c r="U327" s="1585"/>
      <c r="V327" s="1585"/>
      <c r="W327" s="1585"/>
      <c r="X327" s="1585"/>
      <c r="Y327" s="1585"/>
      <c r="Z327" s="1585"/>
      <c r="AA327" s="1585"/>
      <c r="AB327" s="1585"/>
      <c r="AC327" s="1585"/>
      <c r="AD327" s="1585"/>
      <c r="AE327" s="955"/>
      <c r="AF327" s="955"/>
      <c r="AG327" s="1585"/>
      <c r="AH327" s="1585"/>
      <c r="AI327" s="1585"/>
      <c r="AJ327" s="1585"/>
      <c r="AK327" s="1585"/>
      <c r="AL327" s="1585"/>
      <c r="AM327" s="1585"/>
      <c r="AN327" s="1585"/>
      <c r="AO327" s="1585"/>
      <c r="AP327" s="1585"/>
      <c r="AQ327" s="1585"/>
      <c r="AR327" s="1585"/>
      <c r="AS327" s="1585"/>
      <c r="AT327" s="1585"/>
      <c r="AU327" s="1585"/>
      <c r="AV327" s="1585"/>
      <c r="AW327" s="1585"/>
      <c r="AX327" s="1585"/>
      <c r="AY327" s="1585"/>
      <c r="AZ327" s="1585"/>
      <c r="BA327" s="1585"/>
      <c r="BB327" s="1585"/>
      <c r="BC327" s="1585"/>
      <c r="BD327" s="1585"/>
      <c r="BE327" s="1585"/>
      <c r="BF327" s="1585"/>
      <c r="BG327" s="1585"/>
      <c r="BH327" s="1585"/>
      <c r="BI327" s="1585"/>
      <c r="BJ327" s="1585"/>
      <c r="BK327" s="1585"/>
      <c r="BL327" s="1585"/>
      <c r="BM327" s="1585"/>
      <c r="BN327" s="1585"/>
      <c r="BO327" s="1585"/>
      <c r="BP327" s="1585"/>
      <c r="BQ327" s="1585"/>
      <c r="BR327" s="1585"/>
      <c r="BS327" s="1585"/>
      <c r="BT327" s="1585"/>
      <c r="BU327" s="1585"/>
      <c r="BV327" s="1585"/>
      <c r="BW327" s="1585"/>
      <c r="BX327" s="1585"/>
      <c r="BY327" s="1585"/>
      <c r="BZ327" s="1585"/>
      <c r="CA327" s="1585"/>
      <c r="CB327" s="1585"/>
      <c r="CC327" s="1585"/>
      <c r="CD327" s="1585"/>
      <c r="CE327" s="1585"/>
      <c r="CF327" s="1585"/>
      <c r="CG327" s="1585"/>
      <c r="CH327" s="1585"/>
      <c r="CI327" s="1585"/>
      <c r="CJ327" s="1585"/>
      <c r="CK327" s="1585"/>
      <c r="CL327" s="1585"/>
      <c r="CM327" s="1585"/>
      <c r="CN327" s="1585"/>
      <c r="CO327" s="1585"/>
      <c r="CP327" s="1585"/>
      <c r="CQ327" s="1585"/>
      <c r="CR327" s="1585"/>
      <c r="CS327" s="1585"/>
      <c r="CT327" s="1585"/>
      <c r="CU327" s="1585"/>
      <c r="CV327" s="1585"/>
      <c r="CW327" s="1585"/>
      <c r="CX327" s="1585"/>
      <c r="CY327" s="1585"/>
      <c r="CZ327" s="1585"/>
      <c r="DA327" s="1585"/>
      <c r="DB327" s="1585"/>
      <c r="DC327" s="1585"/>
      <c r="DD327" s="1585"/>
      <c r="DE327" s="1585"/>
      <c r="DF327" s="1585"/>
      <c r="DG327" s="1585"/>
      <c r="DH327" s="1585"/>
      <c r="DI327" s="1585"/>
      <c r="DJ327" s="1585"/>
      <c r="DK327" s="1585"/>
      <c r="DL327" s="1585"/>
      <c r="DM327" s="1585"/>
      <c r="DN327" s="1585"/>
      <c r="DO327" s="1585"/>
      <c r="DP327" s="1585"/>
      <c r="DQ327" s="1585"/>
      <c r="DR327" s="1585"/>
      <c r="DS327" s="1585"/>
      <c r="DT327" s="1585"/>
      <c r="DU327" s="1585"/>
      <c r="DV327" s="1585"/>
      <c r="DW327" s="1585"/>
      <c r="DX327" s="1585"/>
      <c r="DY327" s="1585"/>
      <c r="DZ327" s="1585"/>
      <c r="EA327" s="1585"/>
      <c r="EB327" s="1585"/>
      <c r="EC327" s="1585"/>
      <c r="ED327" s="1585"/>
      <c r="EE327" s="1585"/>
      <c r="EF327" s="1585"/>
      <c r="EG327" s="1585"/>
      <c r="EH327" s="1585"/>
      <c r="EI327" s="1585"/>
      <c r="EJ327" s="1585"/>
      <c r="EK327" s="1585"/>
      <c r="EL327" s="1585"/>
      <c r="EM327" s="1585"/>
      <c r="EN327" s="1585"/>
      <c r="EO327" s="1585"/>
      <c r="EP327" s="1585"/>
      <c r="EQ327" s="1585"/>
      <c r="ER327" s="1585"/>
      <c r="ES327" s="1585"/>
      <c r="ET327" s="1585"/>
      <c r="EU327" s="1585"/>
      <c r="EV327" s="1585"/>
      <c r="EW327" s="1585"/>
      <c r="EX327" s="1585"/>
      <c r="EY327" s="1585"/>
      <c r="EZ327" s="1585"/>
      <c r="FA327" s="1585"/>
      <c r="FB327" s="1585"/>
      <c r="FC327" s="1585"/>
      <c r="FD327" s="1585"/>
      <c r="FE327" s="1585"/>
      <c r="FF327" s="1585"/>
      <c r="FG327" s="1585"/>
      <c r="FH327" s="1585"/>
      <c r="FI327" s="1585"/>
      <c r="FJ327" s="1585"/>
      <c r="FK327" s="1585"/>
      <c r="FL327" s="1585"/>
      <c r="FM327" s="1585"/>
      <c r="FN327" s="1585"/>
      <c r="FO327" s="1585"/>
      <c r="FP327" s="1585"/>
      <c r="FQ327" s="1585"/>
      <c r="FR327" s="1585"/>
      <c r="FS327" s="1585"/>
      <c r="FT327" s="1585"/>
      <c r="FU327" s="1585"/>
      <c r="FV327" s="1585"/>
      <c r="FW327" s="1585"/>
      <c r="FX327" s="1585"/>
      <c r="FY327" s="1585"/>
      <c r="FZ327" s="1585"/>
      <c r="GA327" s="1585"/>
      <c r="GB327" s="1585"/>
      <c r="GC327" s="1585"/>
      <c r="GD327" s="1585"/>
      <c r="GE327" s="1585"/>
      <c r="GF327" s="1585"/>
      <c r="GG327" s="1585"/>
      <c r="GH327" s="1585"/>
      <c r="GI327" s="1585"/>
      <c r="GJ327" s="1585"/>
      <c r="GK327" s="1585"/>
      <c r="GL327" s="1585"/>
      <c r="GM327" s="1585"/>
      <c r="GN327" s="1585"/>
      <c r="GO327" s="1585"/>
      <c r="GP327" s="1585"/>
      <c r="GQ327" s="1585"/>
      <c r="GR327" s="1585"/>
      <c r="GS327" s="1585"/>
      <c r="GT327" s="1585"/>
      <c r="GU327" s="1585"/>
      <c r="GV327" s="1585"/>
      <c r="GW327" s="1585"/>
      <c r="GX327" s="1585"/>
      <c r="GY327" s="1585"/>
      <c r="GZ327" s="1585"/>
      <c r="HA327" s="1585"/>
      <c r="HB327" s="1585"/>
      <c r="HC327" s="1585"/>
      <c r="HD327" s="1585"/>
      <c r="HE327" s="1585"/>
      <c r="HF327" s="1585"/>
      <c r="HG327" s="1585"/>
      <c r="HH327" s="1585"/>
      <c r="HI327" s="1585"/>
      <c r="HJ327" s="1585"/>
      <c r="HK327" s="1585"/>
      <c r="HL327" s="1585"/>
      <c r="HM327" s="1585"/>
      <c r="HN327" s="1585"/>
      <c r="HO327" s="1585"/>
      <c r="HP327" s="1585"/>
      <c r="HQ327" s="1585"/>
      <c r="HR327" s="1585"/>
      <c r="HS327" s="1585"/>
      <c r="HT327" s="1585"/>
      <c r="HU327" s="1585"/>
      <c r="HV327" s="1585"/>
      <c r="HW327" s="1585"/>
      <c r="HX327" s="1585"/>
      <c r="HY327" s="1585"/>
      <c r="HZ327" s="1585"/>
      <c r="IA327" s="1585"/>
      <c r="IB327" s="1585"/>
      <c r="IC327" s="1585"/>
      <c r="ID327" s="1585"/>
      <c r="IE327" s="1585"/>
      <c r="IF327" s="1585"/>
      <c r="IG327" s="1585"/>
      <c r="IH327" s="1585"/>
      <c r="II327" s="1585"/>
      <c r="IJ327" s="1585"/>
      <c r="IK327" s="1585"/>
      <c r="IL327" s="1585"/>
      <c r="IM327" s="1585"/>
      <c r="IN327" s="1585"/>
      <c r="IO327" s="1585"/>
      <c r="IP327" s="1585"/>
      <c r="IQ327" s="1585"/>
      <c r="IR327" s="1585"/>
      <c r="IS327" s="1585"/>
      <c r="IT327" s="1585"/>
      <c r="IU327" s="1585"/>
      <c r="IV327" s="1585"/>
    </row>
    <row r="328" spans="1:256 1523:1523" s="137" customFormat="1" ht="22.5" customHeight="1">
      <c r="A328" s="146" t="s">
        <v>757</v>
      </c>
      <c r="B328" s="3282" t="s">
        <v>2689</v>
      </c>
      <c r="C328" s="3282"/>
      <c r="D328" s="3282"/>
      <c r="E328" s="3282"/>
      <c r="F328" s="3282"/>
      <c r="G328" s="3282"/>
      <c r="H328" s="3282"/>
      <c r="I328" s="3282"/>
      <c r="J328" s="3282"/>
      <c r="K328" s="3282"/>
      <c r="L328" s="3282"/>
      <c r="M328" s="3282"/>
      <c r="N328" s="3282"/>
      <c r="O328" s="459" t="s">
        <v>757</v>
      </c>
      <c r="P328" s="1585"/>
      <c r="Q328" s="955"/>
      <c r="AE328" s="487"/>
      <c r="AF328" s="487"/>
    </row>
    <row r="329" spans="1:256 1523:1523" s="137" customFormat="1" ht="11.25" customHeight="1">
      <c r="A329" s="148"/>
      <c r="B329" s="220" t="s">
        <v>1750</v>
      </c>
      <c r="C329" s="3212"/>
      <c r="D329" s="3213"/>
      <c r="E329" s="3213"/>
      <c r="F329" s="3213"/>
      <c r="G329" s="3213"/>
      <c r="H329" s="3213"/>
      <c r="I329" s="3213"/>
      <c r="J329" s="3213"/>
      <c r="K329" s="3213"/>
      <c r="L329" s="3213"/>
      <c r="M329" s="3213"/>
      <c r="N329" s="3214"/>
      <c r="O329" s="224" t="s">
        <v>1750</v>
      </c>
      <c r="P329" s="2236"/>
      <c r="Q329" s="1261"/>
      <c r="AE329" s="487"/>
      <c r="AF329" s="487"/>
    </row>
    <row r="330" spans="1:256 1523:1523" s="137" customFormat="1" ht="11.25" customHeight="1">
      <c r="A330" s="148"/>
      <c r="B330" s="220" t="s">
        <v>1751</v>
      </c>
      <c r="C330" s="3224"/>
      <c r="D330" s="3225"/>
      <c r="E330" s="3225"/>
      <c r="F330" s="3225"/>
      <c r="G330" s="3225"/>
      <c r="H330" s="3225"/>
      <c r="I330" s="3225"/>
      <c r="J330" s="3225"/>
      <c r="K330" s="3225"/>
      <c r="L330" s="3225"/>
      <c r="M330" s="3225"/>
      <c r="N330" s="3226"/>
      <c r="O330" s="224" t="s">
        <v>1751</v>
      </c>
      <c r="P330" s="2249"/>
      <c r="Q330" s="1282"/>
      <c r="AE330" s="487"/>
      <c r="AF330" s="487"/>
    </row>
    <row r="331" spans="1:256 1523:1523" ht="3" customHeight="1">
      <c r="A331" s="1585"/>
      <c r="B331" s="1585"/>
      <c r="C331" s="1585"/>
      <c r="D331" s="1585"/>
      <c r="E331" s="1585"/>
      <c r="F331" s="1585"/>
      <c r="G331" s="1585"/>
      <c r="H331" s="1585"/>
      <c r="I331" s="1585"/>
      <c r="J331" s="1585"/>
      <c r="K331" s="1585"/>
      <c r="L331" s="1585"/>
      <c r="M331" s="1585"/>
      <c r="N331" s="1585"/>
      <c r="O331" s="1585"/>
      <c r="P331" s="1585"/>
      <c r="Q331" s="1585"/>
      <c r="R331" s="1585"/>
      <c r="S331" s="1585"/>
      <c r="T331" s="1585"/>
      <c r="U331" s="1585"/>
      <c r="V331" s="1585"/>
      <c r="W331" s="1585"/>
      <c r="X331" s="1585"/>
      <c r="Y331" s="1585"/>
      <c r="Z331" s="1585"/>
      <c r="AA331" s="1585"/>
      <c r="AB331" s="1585"/>
      <c r="AC331" s="1585"/>
      <c r="AD331" s="1585"/>
      <c r="AE331" s="955"/>
      <c r="AF331" s="955"/>
      <c r="AG331" s="1585"/>
      <c r="AH331" s="1585"/>
      <c r="AI331" s="1585"/>
      <c r="AJ331" s="1585"/>
      <c r="AK331" s="1585"/>
      <c r="AL331" s="1585"/>
      <c r="AM331" s="1585"/>
      <c r="AN331" s="1585"/>
      <c r="AO331" s="1585"/>
      <c r="AP331" s="1585"/>
      <c r="AQ331" s="1585"/>
      <c r="AR331" s="1585"/>
      <c r="AS331" s="1585"/>
      <c r="AT331" s="1585"/>
      <c r="AU331" s="1585"/>
      <c r="AV331" s="1585"/>
      <c r="AW331" s="1585"/>
      <c r="AX331" s="1585"/>
      <c r="AY331" s="1585"/>
      <c r="AZ331" s="1585"/>
      <c r="BA331" s="1585"/>
      <c r="BB331" s="1585"/>
      <c r="BC331" s="1585"/>
      <c r="BD331" s="1585"/>
      <c r="BE331" s="1585"/>
      <c r="BF331" s="1585"/>
      <c r="BG331" s="1585"/>
      <c r="BH331" s="1585"/>
      <c r="BI331" s="1585"/>
      <c r="BJ331" s="1585"/>
      <c r="BK331" s="1585"/>
      <c r="BL331" s="1585"/>
      <c r="BM331" s="1585"/>
      <c r="BN331" s="1585"/>
      <c r="BO331" s="1585"/>
      <c r="BP331" s="1585"/>
      <c r="BQ331" s="1585"/>
      <c r="BR331" s="1585"/>
      <c r="BS331" s="1585"/>
      <c r="BT331" s="1585"/>
      <c r="BU331" s="1585"/>
      <c r="BV331" s="1585"/>
      <c r="BW331" s="1585"/>
      <c r="BX331" s="1585"/>
      <c r="BY331" s="1585"/>
      <c r="BZ331" s="1585"/>
      <c r="CA331" s="1585"/>
      <c r="CB331" s="1585"/>
      <c r="CC331" s="1585"/>
      <c r="CD331" s="1585"/>
      <c r="CE331" s="1585"/>
      <c r="CF331" s="1585"/>
      <c r="CG331" s="1585"/>
      <c r="CH331" s="1585"/>
      <c r="CI331" s="1585"/>
      <c r="CJ331" s="1585"/>
      <c r="CK331" s="1585"/>
      <c r="CL331" s="1585"/>
      <c r="CM331" s="1585"/>
      <c r="CN331" s="1585"/>
      <c r="CO331" s="1585"/>
      <c r="CP331" s="1585"/>
      <c r="CQ331" s="1585"/>
      <c r="CR331" s="1585"/>
      <c r="CS331" s="1585"/>
      <c r="CT331" s="1585"/>
      <c r="CU331" s="1585"/>
      <c r="CV331" s="1585"/>
      <c r="CW331" s="1585"/>
      <c r="CX331" s="1585"/>
      <c r="CY331" s="1585"/>
      <c r="CZ331" s="1585"/>
      <c r="DA331" s="1585"/>
      <c r="DB331" s="1585"/>
      <c r="DC331" s="1585"/>
      <c r="DD331" s="1585"/>
      <c r="DE331" s="1585"/>
      <c r="DF331" s="1585"/>
      <c r="DG331" s="1585"/>
      <c r="DH331" s="1585"/>
      <c r="DI331" s="1585"/>
      <c r="DJ331" s="1585"/>
      <c r="DK331" s="1585"/>
      <c r="DL331" s="1585"/>
      <c r="DM331" s="1585"/>
      <c r="DN331" s="1585"/>
      <c r="DO331" s="1585"/>
      <c r="DP331" s="1585"/>
      <c r="DQ331" s="1585"/>
      <c r="DR331" s="1585"/>
      <c r="DS331" s="1585"/>
      <c r="DT331" s="1585"/>
      <c r="DU331" s="1585"/>
      <c r="DV331" s="1585"/>
      <c r="DW331" s="1585"/>
      <c r="DX331" s="1585"/>
      <c r="DY331" s="1585"/>
      <c r="DZ331" s="1585"/>
      <c r="EA331" s="1585"/>
      <c r="EB331" s="1585"/>
      <c r="EC331" s="1585"/>
      <c r="ED331" s="1585"/>
      <c r="EE331" s="1585"/>
      <c r="EF331" s="1585"/>
      <c r="EG331" s="1585"/>
      <c r="EH331" s="1585"/>
      <c r="EI331" s="1585"/>
      <c r="EJ331" s="1585"/>
      <c r="EK331" s="1585"/>
      <c r="EL331" s="1585"/>
      <c r="EM331" s="1585"/>
      <c r="EN331" s="1585"/>
      <c r="EO331" s="1585"/>
      <c r="EP331" s="1585"/>
      <c r="EQ331" s="1585"/>
      <c r="ER331" s="1585"/>
      <c r="ES331" s="1585"/>
      <c r="ET331" s="1585"/>
      <c r="EU331" s="1585"/>
      <c r="EV331" s="1585"/>
      <c r="EW331" s="1585"/>
      <c r="EX331" s="1585"/>
      <c r="EY331" s="1585"/>
      <c r="EZ331" s="1585"/>
      <c r="FA331" s="1585"/>
      <c r="FB331" s="1585"/>
      <c r="FC331" s="1585"/>
      <c r="FD331" s="1585"/>
      <c r="FE331" s="1585"/>
      <c r="FF331" s="1585"/>
      <c r="FG331" s="1585"/>
      <c r="FH331" s="1585"/>
      <c r="FI331" s="1585"/>
      <c r="FJ331" s="1585"/>
      <c r="FK331" s="1585"/>
      <c r="FL331" s="1585"/>
      <c r="FM331" s="1585"/>
      <c r="FN331" s="1585"/>
      <c r="FO331" s="1585"/>
      <c r="FP331" s="1585"/>
      <c r="FQ331" s="1585"/>
      <c r="FR331" s="1585"/>
      <c r="FS331" s="1585"/>
      <c r="FT331" s="1585"/>
      <c r="FU331" s="1585"/>
      <c r="FV331" s="1585"/>
      <c r="FW331" s="1585"/>
      <c r="FX331" s="1585"/>
      <c r="FY331" s="1585"/>
      <c r="FZ331" s="1585"/>
      <c r="GA331" s="1585"/>
      <c r="GB331" s="1585"/>
      <c r="GC331" s="1585"/>
      <c r="GD331" s="1585"/>
      <c r="GE331" s="1585"/>
      <c r="GF331" s="1585"/>
      <c r="GG331" s="1585"/>
      <c r="GH331" s="1585"/>
      <c r="GI331" s="1585"/>
      <c r="GJ331" s="1585"/>
      <c r="GK331" s="1585"/>
      <c r="GL331" s="1585"/>
      <c r="GM331" s="1585"/>
      <c r="GN331" s="1585"/>
      <c r="GO331" s="1585"/>
      <c r="GP331" s="1585"/>
      <c r="GQ331" s="1585"/>
      <c r="GR331" s="1585"/>
      <c r="GS331" s="1585"/>
      <c r="GT331" s="1585"/>
      <c r="GU331" s="1585"/>
      <c r="GV331" s="1585"/>
      <c r="GW331" s="1585"/>
      <c r="GX331" s="1585"/>
      <c r="GY331" s="1585"/>
      <c r="GZ331" s="1585"/>
      <c r="HA331" s="1585"/>
      <c r="HB331" s="1585"/>
      <c r="HC331" s="1585"/>
      <c r="HD331" s="1585"/>
      <c r="HE331" s="1585"/>
      <c r="HF331" s="1585"/>
      <c r="HG331" s="1585"/>
      <c r="HH331" s="1585"/>
      <c r="HI331" s="1585"/>
      <c r="HJ331" s="1585"/>
      <c r="HK331" s="1585"/>
      <c r="HL331" s="1585"/>
      <c r="HM331" s="1585"/>
      <c r="HN331" s="1585"/>
      <c r="HO331" s="1585"/>
      <c r="HP331" s="1585"/>
      <c r="HQ331" s="1585"/>
      <c r="HR331" s="1585"/>
      <c r="HS331" s="1585"/>
      <c r="HT331" s="1585"/>
      <c r="HU331" s="1585"/>
      <c r="HV331" s="1585"/>
      <c r="HW331" s="1585"/>
      <c r="HX331" s="1585"/>
      <c r="HY331" s="1585"/>
      <c r="HZ331" s="1585"/>
      <c r="IA331" s="1585"/>
      <c r="IB331" s="1585"/>
      <c r="IC331" s="1585"/>
      <c r="ID331" s="1585"/>
      <c r="IE331" s="1585"/>
      <c r="IF331" s="1585"/>
      <c r="IG331" s="1585"/>
      <c r="IH331" s="1585"/>
      <c r="II331" s="1585"/>
      <c r="IJ331" s="1585"/>
      <c r="IK331" s="1585"/>
      <c r="IL331" s="1585"/>
      <c r="IM331" s="1585"/>
      <c r="IN331" s="1585"/>
      <c r="IO331" s="1585"/>
      <c r="IP331" s="1585"/>
      <c r="IQ331" s="1585"/>
      <c r="IR331" s="1585"/>
      <c r="IS331" s="1585"/>
      <c r="IT331" s="1585"/>
      <c r="IU331" s="1585"/>
      <c r="IV331" s="1585"/>
    </row>
    <row r="332" spans="1:256 1523:1523" ht="11.25" customHeight="1">
      <c r="B332" s="145" t="s">
        <v>3779</v>
      </c>
      <c r="D332" s="145"/>
      <c r="E332" s="145"/>
      <c r="F332" s="145"/>
      <c r="G332" s="145"/>
      <c r="H332" s="41"/>
      <c r="I332" s="1589"/>
      <c r="J332" s="1589"/>
      <c r="K332" s="1589"/>
      <c r="L332" s="1585"/>
      <c r="M332" s="1585"/>
      <c r="N332" s="1585"/>
      <c r="O332" s="1585"/>
      <c r="P332" s="1585"/>
      <c r="Q332" s="955"/>
    </row>
    <row r="333" spans="1:256 1523:1523" ht="36" customHeight="1">
      <c r="A333" s="3100" t="s">
        <v>4675</v>
      </c>
      <c r="B333" s="3101"/>
      <c r="C333" s="3101"/>
      <c r="D333" s="3101"/>
      <c r="E333" s="3101"/>
      <c r="F333" s="3101"/>
      <c r="G333" s="3101"/>
      <c r="H333" s="3101"/>
      <c r="I333" s="3101"/>
      <c r="J333" s="3101"/>
      <c r="K333" s="3101"/>
      <c r="L333" s="3101"/>
      <c r="M333" s="3101"/>
      <c r="N333" s="3101"/>
      <c r="O333" s="3101"/>
      <c r="P333" s="3101"/>
      <c r="Q333" s="3102"/>
      <c r="R333" s="485" t="s">
        <v>1266</v>
      </c>
      <c r="S333" s="125"/>
      <c r="U333" s="140"/>
      <c r="V333" s="140"/>
      <c r="W333" s="140"/>
      <c r="X333" s="140"/>
      <c r="Y333" s="140"/>
      <c r="Z333" s="140"/>
      <c r="AA333" s="140"/>
      <c r="AB333" s="140"/>
      <c r="AC333" s="140"/>
      <c r="AD333" s="140"/>
      <c r="AE333" s="486"/>
    </row>
    <row r="334" spans="1:256 1523:1523" ht="11.25" customHeight="1">
      <c r="B334" s="141" t="s">
        <v>1880</v>
      </c>
      <c r="C334" s="142"/>
      <c r="D334" s="1592"/>
      <c r="E334" s="1592"/>
      <c r="F334" s="1592"/>
      <c r="G334" s="1592"/>
      <c r="H334" s="1592"/>
      <c r="I334" s="1592"/>
      <c r="J334" s="1592"/>
      <c r="K334" s="1592"/>
      <c r="L334" s="1592"/>
      <c r="M334" s="1592"/>
      <c r="N334" s="1592"/>
      <c r="O334" s="1592"/>
      <c r="P334" s="1592"/>
      <c r="Q334" s="1592"/>
    </row>
    <row r="335" spans="1:256 1523:1523" ht="11.45" customHeight="1">
      <c r="A335" s="3159"/>
      <c r="B335" s="3160"/>
      <c r="C335" s="3160"/>
      <c r="D335" s="3160"/>
      <c r="E335" s="3160"/>
      <c r="F335" s="3160"/>
      <c r="G335" s="3160"/>
      <c r="H335" s="3160"/>
      <c r="I335" s="3160"/>
      <c r="J335" s="3160"/>
      <c r="K335" s="3160"/>
      <c r="L335" s="3160"/>
      <c r="M335" s="3160"/>
      <c r="N335" s="3160"/>
      <c r="O335" s="3160"/>
      <c r="P335" s="3160"/>
      <c r="Q335" s="3161"/>
    </row>
    <row r="336" spans="1:256 1523:1523" ht="13.9" customHeight="1">
      <c r="A336" s="1586" t="s">
        <v>4151</v>
      </c>
      <c r="B336" s="1586" t="s">
        <v>4190</v>
      </c>
      <c r="C336" s="1586"/>
      <c r="D336" s="1592"/>
      <c r="E336" s="1592"/>
      <c r="F336" s="1592"/>
      <c r="G336" s="1592"/>
      <c r="H336" s="1592"/>
      <c r="O336" s="136" t="s">
        <v>1881</v>
      </c>
      <c r="P336" s="3116"/>
      <c r="Q336" s="3117"/>
    </row>
    <row r="337" spans="1:31" ht="11.45" customHeight="1">
      <c r="A337" s="48" t="s">
        <v>1999</v>
      </c>
      <c r="B337" s="56" t="s">
        <v>3946</v>
      </c>
      <c r="O337" s="166" t="s">
        <v>1999</v>
      </c>
      <c r="P337" s="2209" t="s">
        <v>3010</v>
      </c>
      <c r="Q337" s="560"/>
    </row>
    <row r="338" spans="1:31" ht="11.45" customHeight="1">
      <c r="A338" s="146" t="s">
        <v>2001</v>
      </c>
      <c r="B338" s="56" t="s">
        <v>4135</v>
      </c>
      <c r="O338" s="166" t="s">
        <v>2001</v>
      </c>
      <c r="P338" s="2193" t="s">
        <v>3010</v>
      </c>
      <c r="Q338" s="561"/>
    </row>
    <row r="339" spans="1:31" ht="11.45" customHeight="1">
      <c r="A339" s="146" t="s">
        <v>757</v>
      </c>
      <c r="B339" s="149" t="s">
        <v>2366</v>
      </c>
      <c r="O339" s="166" t="s">
        <v>757</v>
      </c>
      <c r="P339" s="2196" t="s">
        <v>3013</v>
      </c>
      <c r="Q339" s="562"/>
    </row>
    <row r="340" spans="1:31" ht="11.45" customHeight="1">
      <c r="A340" s="48" t="s">
        <v>2131</v>
      </c>
      <c r="B340" s="56" t="s">
        <v>3871</v>
      </c>
      <c r="O340" s="484" t="s">
        <v>2131</v>
      </c>
      <c r="P340" s="2192" t="s">
        <v>3013</v>
      </c>
      <c r="Q340" s="563"/>
    </row>
    <row r="341" spans="1:31" ht="11.45" customHeight="1">
      <c r="A341" s="146" t="s">
        <v>1748</v>
      </c>
      <c r="B341" s="56" t="s">
        <v>2902</v>
      </c>
      <c r="N341" s="166" t="s">
        <v>1748</v>
      </c>
      <c r="O341" s="2475" t="s">
        <v>3865</v>
      </c>
      <c r="P341" s="2476"/>
      <c r="Q341" s="2477"/>
    </row>
    <row r="342" spans="1:31" ht="11.45" customHeight="1">
      <c r="A342" s="146" t="s">
        <v>1749</v>
      </c>
      <c r="B342" s="425" t="s">
        <v>2367</v>
      </c>
      <c r="N342" s="166" t="s">
        <v>1749</v>
      </c>
      <c r="O342" s="3234" t="s">
        <v>2903</v>
      </c>
      <c r="P342" s="3235"/>
      <c r="Q342" s="3236"/>
    </row>
    <row r="343" spans="1:31" ht="11.25" customHeight="1">
      <c r="B343" s="145" t="s">
        <v>3779</v>
      </c>
      <c r="D343" s="145"/>
      <c r="E343" s="145"/>
      <c r="F343" s="145"/>
      <c r="G343" s="145"/>
      <c r="H343" s="41"/>
      <c r="I343" s="1589"/>
      <c r="J343" s="1589"/>
      <c r="K343" s="1589"/>
      <c r="L343" s="1585"/>
      <c r="M343" s="1585"/>
      <c r="N343" s="1585"/>
      <c r="O343" s="1585"/>
      <c r="P343" s="1585"/>
      <c r="Q343" s="955"/>
    </row>
    <row r="344" spans="1:31" ht="24.6" customHeight="1">
      <c r="A344" s="3100" t="s">
        <v>4677</v>
      </c>
      <c r="B344" s="3101"/>
      <c r="C344" s="3101"/>
      <c r="D344" s="3101"/>
      <c r="E344" s="3101"/>
      <c r="F344" s="3101"/>
      <c r="G344" s="3101"/>
      <c r="H344" s="3101"/>
      <c r="I344" s="3101"/>
      <c r="J344" s="3101"/>
      <c r="K344" s="3101"/>
      <c r="L344" s="3101"/>
      <c r="M344" s="3101"/>
      <c r="N344" s="3101"/>
      <c r="O344" s="3101"/>
      <c r="P344" s="3101"/>
      <c r="Q344" s="3102"/>
      <c r="R344" s="461" t="s">
        <v>1266</v>
      </c>
      <c r="S344" s="462"/>
      <c r="U344" s="140"/>
      <c r="V344" s="140"/>
      <c r="W344" s="140"/>
      <c r="X344" s="140"/>
      <c r="Y344" s="140"/>
      <c r="Z344" s="140"/>
      <c r="AA344" s="140"/>
      <c r="AB344" s="140"/>
      <c r="AC344" s="140"/>
      <c r="AD344" s="140"/>
      <c r="AE344" s="486"/>
    </row>
    <row r="345" spans="1:31" ht="11.25" customHeight="1">
      <c r="B345" s="141" t="s">
        <v>1880</v>
      </c>
      <c r="C345" s="142"/>
      <c r="D345" s="1592"/>
      <c r="E345" s="1592"/>
      <c r="F345" s="1592"/>
      <c r="G345" s="1592"/>
      <c r="H345" s="1592"/>
      <c r="I345" s="1592"/>
      <c r="J345" s="1592"/>
      <c r="K345" s="1592"/>
      <c r="L345" s="1592"/>
      <c r="M345" s="1592"/>
      <c r="N345" s="1592"/>
      <c r="O345" s="1592"/>
      <c r="P345" s="1592"/>
      <c r="Q345" s="1592"/>
    </row>
    <row r="346" spans="1:31" ht="13.15" customHeight="1">
      <c r="A346" s="3159"/>
      <c r="B346" s="3160"/>
      <c r="C346" s="3160"/>
      <c r="D346" s="3160"/>
      <c r="E346" s="3160"/>
      <c r="F346" s="3160"/>
      <c r="G346" s="3160"/>
      <c r="H346" s="3160"/>
      <c r="I346" s="3160"/>
      <c r="J346" s="3160"/>
      <c r="K346" s="3160"/>
      <c r="L346" s="3160"/>
      <c r="M346" s="3160"/>
      <c r="N346" s="3160"/>
      <c r="O346" s="3160"/>
      <c r="P346" s="3160"/>
      <c r="Q346" s="3161"/>
    </row>
    <row r="347" spans="1:31" ht="13.9" customHeight="1">
      <c r="A347" s="1586" t="s">
        <v>4152</v>
      </c>
      <c r="B347" s="4" t="s">
        <v>2684</v>
      </c>
      <c r="C347" s="4"/>
      <c r="D347" s="89"/>
      <c r="E347" s="1592"/>
      <c r="F347" s="1592"/>
      <c r="G347" s="1592"/>
      <c r="H347" s="1592"/>
      <c r="I347" s="1592"/>
      <c r="J347" s="1592"/>
      <c r="K347" s="1592"/>
      <c r="L347" s="1592"/>
      <c r="M347" s="1592"/>
      <c r="O347" s="136" t="s">
        <v>1881</v>
      </c>
      <c r="P347" s="3116"/>
      <c r="Q347" s="3117"/>
    </row>
    <row r="348" spans="1:31" ht="12.75" customHeight="1">
      <c r="A348" s="146" t="s">
        <v>1999</v>
      </c>
      <c r="B348" s="144" t="s">
        <v>3683</v>
      </c>
      <c r="D348" s="144"/>
      <c r="E348" s="144"/>
      <c r="F348" s="144"/>
      <c r="G348" s="144"/>
      <c r="H348" s="144"/>
      <c r="I348" s="144"/>
      <c r="J348" s="144"/>
      <c r="K348" s="144"/>
      <c r="L348" s="144"/>
      <c r="M348" s="144"/>
      <c r="N348" s="144"/>
      <c r="O348" s="166" t="s">
        <v>1999</v>
      </c>
      <c r="P348" s="2193" t="s">
        <v>3010</v>
      </c>
      <c r="Q348" s="561"/>
    </row>
    <row r="349" spans="1:31" ht="12.75" customHeight="1">
      <c r="A349" s="146" t="s">
        <v>2001</v>
      </c>
      <c r="B349" s="144" t="s">
        <v>3880</v>
      </c>
      <c r="D349" s="144"/>
      <c r="E349" s="144"/>
      <c r="F349" s="144"/>
      <c r="G349" s="144"/>
      <c r="H349" s="144"/>
      <c r="I349" s="144"/>
      <c r="J349" s="144"/>
      <c r="K349" s="144"/>
      <c r="L349" s="144"/>
      <c r="M349" s="144"/>
      <c r="N349" s="144"/>
      <c r="O349" s="166" t="s">
        <v>2001</v>
      </c>
      <c r="P349" s="2196" t="s">
        <v>3010</v>
      </c>
      <c r="Q349" s="562"/>
    </row>
    <row r="350" spans="1:31" ht="22.5" customHeight="1">
      <c r="A350" s="146" t="s">
        <v>757</v>
      </c>
      <c r="B350" s="3198" t="s">
        <v>4136</v>
      </c>
      <c r="C350" s="3198"/>
      <c r="D350" s="3198"/>
      <c r="E350" s="3198"/>
      <c r="F350" s="3198"/>
      <c r="G350" s="3198"/>
      <c r="H350" s="3198"/>
      <c r="I350" s="3198"/>
      <c r="J350" s="3198"/>
      <c r="K350" s="3198"/>
      <c r="L350" s="3198"/>
      <c r="M350" s="3198"/>
      <c r="N350" s="3198"/>
      <c r="O350" s="166" t="s">
        <v>757</v>
      </c>
      <c r="P350" s="2192" t="s">
        <v>3010</v>
      </c>
      <c r="Q350" s="563"/>
    </row>
    <row r="351" spans="1:31" ht="11.25" customHeight="1">
      <c r="B351" s="145" t="s">
        <v>3779</v>
      </c>
      <c r="D351" s="145"/>
      <c r="E351" s="145"/>
      <c r="F351" s="145"/>
      <c r="G351" s="145"/>
      <c r="H351" s="41"/>
      <c r="I351" s="1589"/>
      <c r="J351" s="1589"/>
      <c r="K351" s="1589"/>
      <c r="L351" s="1585"/>
      <c r="M351" s="1585"/>
      <c r="N351" s="1585"/>
      <c r="O351" s="1585"/>
      <c r="P351" s="1585"/>
      <c r="Q351" s="955"/>
    </row>
    <row r="352" spans="1:31" ht="147.6" customHeight="1">
      <c r="A352" s="3100" t="s">
        <v>4735</v>
      </c>
      <c r="B352" s="3101"/>
      <c r="C352" s="3101"/>
      <c r="D352" s="3101"/>
      <c r="E352" s="3101"/>
      <c r="F352" s="3101"/>
      <c r="G352" s="3101"/>
      <c r="H352" s="3101"/>
      <c r="I352" s="3101"/>
      <c r="J352" s="3101"/>
      <c r="K352" s="3101"/>
      <c r="L352" s="3101"/>
      <c r="M352" s="3101"/>
      <c r="N352" s="3101"/>
      <c r="O352" s="3101"/>
      <c r="P352" s="3101"/>
      <c r="Q352" s="3102"/>
      <c r="U352" s="140"/>
      <c r="V352" s="140"/>
      <c r="W352" s="140"/>
      <c r="X352" s="140"/>
      <c r="Y352" s="140"/>
      <c r="Z352" s="140"/>
      <c r="AA352" s="140"/>
      <c r="AB352" s="140"/>
      <c r="AC352" s="140"/>
      <c r="AD352" s="140"/>
      <c r="AE352" s="486"/>
    </row>
    <row r="353" spans="1:32" ht="11.25" customHeight="1">
      <c r="B353" s="141" t="s">
        <v>1880</v>
      </c>
      <c r="C353" s="142"/>
      <c r="D353" s="1592"/>
      <c r="E353" s="1592"/>
      <c r="F353" s="1592"/>
      <c r="G353" s="1592"/>
      <c r="H353" s="1592"/>
      <c r="I353" s="1592"/>
      <c r="J353" s="1592"/>
      <c r="K353" s="1592"/>
      <c r="L353" s="1592"/>
      <c r="M353" s="1592"/>
      <c r="N353" s="1592"/>
      <c r="O353" s="1592"/>
      <c r="P353" s="1592"/>
      <c r="Q353" s="1592"/>
    </row>
    <row r="354" spans="1:32" ht="11.45" customHeight="1">
      <c r="A354" s="3159"/>
      <c r="B354" s="3160"/>
      <c r="C354" s="3160"/>
      <c r="D354" s="3160"/>
      <c r="E354" s="3160"/>
      <c r="F354" s="3160"/>
      <c r="G354" s="3160"/>
      <c r="H354" s="3160"/>
      <c r="I354" s="3160"/>
      <c r="J354" s="3160"/>
      <c r="K354" s="3160"/>
      <c r="L354" s="3160"/>
      <c r="M354" s="3160"/>
      <c r="N354" s="3160"/>
      <c r="O354" s="3160"/>
      <c r="P354" s="3160"/>
      <c r="Q354" s="3161"/>
    </row>
    <row r="355" spans="1:32" ht="2.25" customHeight="1">
      <c r="A355" s="1585"/>
      <c r="B355" s="1589"/>
      <c r="C355" s="1592"/>
      <c r="D355" s="1592"/>
      <c r="E355" s="1592"/>
      <c r="F355" s="1592"/>
      <c r="G355" s="1592"/>
      <c r="H355" s="1592"/>
      <c r="I355" s="1592"/>
      <c r="J355" s="1592"/>
      <c r="K355" s="1592"/>
      <c r="L355" s="1592"/>
      <c r="M355" s="1592"/>
      <c r="N355" s="1592"/>
      <c r="O355" s="1592"/>
      <c r="P355" s="1592"/>
      <c r="Q355" s="955"/>
      <c r="R355" s="8"/>
      <c r="S355" s="8"/>
    </row>
    <row r="356" spans="1:32" ht="13.9" customHeight="1">
      <c r="A356" s="1586" t="s">
        <v>4155</v>
      </c>
      <c r="B356" s="4" t="s">
        <v>4122</v>
      </c>
      <c r="C356" s="4"/>
      <c r="D356" s="4"/>
      <c r="E356" s="4"/>
      <c r="F356" s="4"/>
      <c r="G356" s="4"/>
      <c r="H356" s="1592"/>
      <c r="I356" s="1592"/>
      <c r="J356" s="1592"/>
      <c r="K356" s="1592"/>
      <c r="L356" s="1592"/>
      <c r="M356" s="1592"/>
      <c r="O356" s="136" t="s">
        <v>1881</v>
      </c>
      <c r="P356" s="3247"/>
      <c r="Q356" s="3117"/>
    </row>
    <row r="357" spans="1:32" ht="10.5" customHeight="1">
      <c r="A357" s="48" t="s">
        <v>1999</v>
      </c>
      <c r="B357" s="139" t="s">
        <v>4123</v>
      </c>
      <c r="D357" s="155"/>
      <c r="E357" s="155"/>
      <c r="F357" s="155"/>
      <c r="G357" s="155"/>
      <c r="H357" s="484" t="s">
        <v>1999</v>
      </c>
      <c r="I357" s="3182" t="s">
        <v>4554</v>
      </c>
      <c r="J357" s="3183"/>
      <c r="K357" s="3183"/>
      <c r="L357" s="3183"/>
      <c r="M357" s="3183"/>
      <c r="N357" s="3183"/>
      <c r="O357" s="3183"/>
      <c r="P357" s="3184"/>
      <c r="Q357" s="559"/>
    </row>
    <row r="358" spans="1:32" ht="10.5" customHeight="1">
      <c r="A358" s="146" t="s">
        <v>2001</v>
      </c>
      <c r="B358" s="139" t="s">
        <v>4124</v>
      </c>
      <c r="D358" s="155"/>
      <c r="E358" s="155"/>
      <c r="F358" s="155"/>
      <c r="G358" s="155"/>
      <c r="H358" s="166" t="s">
        <v>2001</v>
      </c>
      <c r="I358" s="3182" t="s">
        <v>4659</v>
      </c>
      <c r="J358" s="3183"/>
      <c r="K358" s="3183"/>
      <c r="L358" s="3183"/>
      <c r="M358" s="3183"/>
      <c r="N358" s="3183"/>
      <c r="O358" s="3183"/>
      <c r="P358" s="3184"/>
      <c r="Q358" s="559"/>
    </row>
    <row r="359" spans="1:32" ht="21.75" customHeight="1">
      <c r="A359" s="146" t="s">
        <v>757</v>
      </c>
      <c r="B359" s="3249" t="s">
        <v>4114</v>
      </c>
      <c r="C359" s="3249"/>
      <c r="D359" s="3249"/>
      <c r="E359" s="3249"/>
      <c r="F359" s="3249"/>
      <c r="G359" s="3249"/>
      <c r="H359" s="3249"/>
      <c r="I359" s="3249"/>
      <c r="J359" s="3249"/>
      <c r="K359" s="3249"/>
      <c r="L359" s="3249"/>
      <c r="M359" s="3249"/>
      <c r="N359" s="3249"/>
      <c r="O359" s="166" t="s">
        <v>757</v>
      </c>
      <c r="P359" s="2253" t="s">
        <v>3010</v>
      </c>
      <c r="Q359" s="1261"/>
    </row>
    <row r="360" spans="1:32" ht="21.75" customHeight="1">
      <c r="A360" s="146" t="s">
        <v>2131</v>
      </c>
      <c r="B360" s="3198" t="s">
        <v>4115</v>
      </c>
      <c r="C360" s="3198"/>
      <c r="D360" s="3198"/>
      <c r="E360" s="3198"/>
      <c r="F360" s="3198"/>
      <c r="G360" s="3198"/>
      <c r="H360" s="3198"/>
      <c r="I360" s="3198"/>
      <c r="J360" s="3198"/>
      <c r="K360" s="3198"/>
      <c r="L360" s="3198"/>
      <c r="M360" s="3198"/>
      <c r="N360" s="3198"/>
      <c r="O360" s="484" t="s">
        <v>2131</v>
      </c>
      <c r="P360" s="2262" t="s">
        <v>3010</v>
      </c>
      <c r="Q360" s="564"/>
    </row>
    <row r="361" spans="1:32" ht="10.5" customHeight="1">
      <c r="A361" s="146" t="s">
        <v>1748</v>
      </c>
      <c r="B361" s="53" t="s">
        <v>4116</v>
      </c>
      <c r="D361" s="53"/>
      <c r="E361" s="53"/>
      <c r="F361" s="53"/>
      <c r="G361" s="53"/>
      <c r="H361" s="53"/>
      <c r="I361" s="53"/>
      <c r="J361" s="53"/>
      <c r="K361" s="53"/>
      <c r="L361" s="53"/>
      <c r="M361" s="53"/>
      <c r="O361" s="166" t="s">
        <v>1748</v>
      </c>
      <c r="P361" s="2196" t="s">
        <v>3010</v>
      </c>
      <c r="Q361" s="562"/>
    </row>
    <row r="362" spans="1:32" s="137" customFormat="1" ht="21.75" customHeight="1">
      <c r="A362" s="146" t="s">
        <v>1749</v>
      </c>
      <c r="B362" s="3198" t="s">
        <v>4117</v>
      </c>
      <c r="C362" s="3198"/>
      <c r="D362" s="3198"/>
      <c r="E362" s="3198"/>
      <c r="F362" s="3198"/>
      <c r="G362" s="3198"/>
      <c r="H362" s="3198"/>
      <c r="I362" s="3198"/>
      <c r="J362" s="3198"/>
      <c r="K362" s="3198"/>
      <c r="L362" s="3198"/>
      <c r="M362" s="3198"/>
      <c r="N362" s="3198"/>
      <c r="O362" s="166" t="s">
        <v>1749</v>
      </c>
      <c r="P362" s="2267" t="s">
        <v>3010</v>
      </c>
      <c r="Q362" s="933"/>
      <c r="AE362" s="487"/>
      <c r="AF362" s="487"/>
    </row>
    <row r="363" spans="1:32" s="137" customFormat="1" ht="10.5" customHeight="1">
      <c r="A363" s="146" t="s">
        <v>1962</v>
      </c>
      <c r="B363" s="144" t="s">
        <v>4118</v>
      </c>
      <c r="D363" s="957"/>
      <c r="E363" s="957"/>
      <c r="F363" s="957"/>
      <c r="G363" s="957"/>
      <c r="H363" s="957"/>
      <c r="I363" s="957"/>
      <c r="J363" s="957"/>
      <c r="K363" s="957"/>
      <c r="L363" s="957"/>
      <c r="M363" s="957"/>
      <c r="N363" s="957"/>
      <c r="O363" s="166" t="s">
        <v>1962</v>
      </c>
      <c r="P363" s="2236" t="s">
        <v>3010</v>
      </c>
      <c r="Q363" s="1261"/>
      <c r="AE363" s="487"/>
      <c r="AF363" s="487"/>
    </row>
    <row r="364" spans="1:32" s="137" customFormat="1" ht="10.5" customHeight="1">
      <c r="C364" s="932" t="s">
        <v>3860</v>
      </c>
      <c r="E364" s="1592"/>
      <c r="F364" s="1592"/>
      <c r="G364" s="1592"/>
      <c r="H364" s="1592"/>
      <c r="I364" s="1592"/>
      <c r="J364" s="1592"/>
      <c r="K364" s="1592"/>
      <c r="L364" s="1592"/>
      <c r="M364" s="1592"/>
      <c r="N364" s="1592"/>
      <c r="P364" s="2249"/>
      <c r="Q364" s="1282"/>
      <c r="AE364" s="487"/>
      <c r="AF364" s="487"/>
    </row>
    <row r="365" spans="1:32" ht="21.75" customHeight="1">
      <c r="A365" s="146" t="s">
        <v>3391</v>
      </c>
      <c r="B365" s="3198" t="s">
        <v>4119</v>
      </c>
      <c r="C365" s="3198"/>
      <c r="D365" s="3198"/>
      <c r="E365" s="3198"/>
      <c r="F365" s="3198"/>
      <c r="G365" s="3198"/>
      <c r="H365" s="3198"/>
      <c r="I365" s="3198"/>
      <c r="J365" s="3198"/>
      <c r="K365" s="3198"/>
      <c r="L365" s="3198"/>
      <c r="M365" s="3198"/>
      <c r="N365" s="3198"/>
      <c r="O365" s="166" t="s">
        <v>3391</v>
      </c>
      <c r="P365" s="2236" t="s">
        <v>3013</v>
      </c>
      <c r="Q365" s="1261"/>
    </row>
    <row r="366" spans="1:32" ht="33" customHeight="1">
      <c r="A366" s="146" t="s">
        <v>622</v>
      </c>
      <c r="B366" s="3198" t="s">
        <v>4120</v>
      </c>
      <c r="C366" s="3198"/>
      <c r="D366" s="3198"/>
      <c r="E366" s="3198"/>
      <c r="F366" s="3198"/>
      <c r="G366" s="3198"/>
      <c r="H366" s="3198"/>
      <c r="I366" s="3198"/>
      <c r="J366" s="3198"/>
      <c r="K366" s="3198"/>
      <c r="L366" s="3198"/>
      <c r="M366" s="3198"/>
      <c r="N366" s="3198"/>
      <c r="O366" s="166" t="s">
        <v>622</v>
      </c>
      <c r="P366" s="2249" t="s">
        <v>3010</v>
      </c>
      <c r="Q366" s="1282"/>
    </row>
    <row r="367" spans="1:32" ht="10.5" customHeight="1">
      <c r="B367" s="145" t="s">
        <v>3779</v>
      </c>
      <c r="D367" s="145"/>
      <c r="E367" s="145"/>
      <c r="F367" s="145"/>
      <c r="G367" s="145"/>
      <c r="H367" s="41"/>
      <c r="I367" s="1589"/>
      <c r="J367" s="1589"/>
      <c r="K367" s="1589"/>
      <c r="L367" s="1585"/>
      <c r="M367" s="1585"/>
      <c r="N367" s="1585"/>
      <c r="O367" s="1585"/>
      <c r="P367" s="1585"/>
      <c r="Q367" s="955"/>
    </row>
    <row r="368" spans="1:32" ht="31.5" customHeight="1">
      <c r="A368" s="3100" t="s">
        <v>4678</v>
      </c>
      <c r="B368" s="3101"/>
      <c r="C368" s="3101"/>
      <c r="D368" s="3101"/>
      <c r="E368" s="3101"/>
      <c r="F368" s="3101"/>
      <c r="G368" s="3101"/>
      <c r="H368" s="3101"/>
      <c r="I368" s="3101"/>
      <c r="J368" s="3101"/>
      <c r="K368" s="3101"/>
      <c r="L368" s="3101"/>
      <c r="M368" s="3101"/>
      <c r="N368" s="3101"/>
      <c r="O368" s="3101"/>
      <c r="P368" s="3101"/>
      <c r="Q368" s="3102"/>
      <c r="U368" s="140"/>
      <c r="V368" s="140"/>
      <c r="W368" s="140"/>
      <c r="X368" s="140"/>
      <c r="Y368" s="140"/>
      <c r="Z368" s="140"/>
      <c r="AA368" s="140"/>
      <c r="AB368" s="140"/>
      <c r="AC368" s="140"/>
      <c r="AD368" s="140"/>
      <c r="AE368" s="486"/>
    </row>
    <row r="369" spans="1:32" ht="10.5" customHeight="1">
      <c r="B369" s="141" t="s">
        <v>1880</v>
      </c>
      <c r="C369" s="142"/>
      <c r="D369" s="1592"/>
      <c r="E369" s="1592"/>
      <c r="F369" s="1592"/>
      <c r="G369" s="1592"/>
      <c r="H369" s="1592"/>
      <c r="I369" s="1592"/>
      <c r="J369" s="1592"/>
      <c r="K369" s="1592"/>
      <c r="L369" s="1592"/>
      <c r="M369" s="1592"/>
      <c r="N369" s="1592"/>
      <c r="O369" s="1592"/>
      <c r="P369" s="1592"/>
      <c r="Q369" s="1592"/>
    </row>
    <row r="370" spans="1:32" ht="31.5" customHeight="1">
      <c r="A370" s="3159"/>
      <c r="B370" s="3160"/>
      <c r="C370" s="3160"/>
      <c r="D370" s="3160"/>
      <c r="E370" s="3160"/>
      <c r="F370" s="3160"/>
      <c r="G370" s="3160"/>
      <c r="H370" s="3160"/>
      <c r="I370" s="3160"/>
      <c r="J370" s="3160"/>
      <c r="K370" s="3160"/>
      <c r="L370" s="3160"/>
      <c r="M370" s="3160"/>
      <c r="N370" s="3160"/>
      <c r="O370" s="3160"/>
      <c r="P370" s="3160"/>
      <c r="Q370" s="3161"/>
    </row>
    <row r="371" spans="1:32" ht="3" customHeight="1">
      <c r="A371" s="1585"/>
      <c r="B371" s="1589"/>
      <c r="C371" s="1592"/>
      <c r="D371" s="1592"/>
      <c r="E371" s="1592"/>
      <c r="F371" s="1592"/>
      <c r="G371" s="1592"/>
      <c r="H371" s="1592"/>
      <c r="I371" s="1592"/>
      <c r="J371" s="1592"/>
      <c r="K371" s="1592"/>
      <c r="L371" s="1592"/>
      <c r="M371" s="1592"/>
      <c r="Q371" s="955"/>
    </row>
    <row r="372" spans="1:32" ht="13.9" customHeight="1">
      <c r="A372" s="1586" t="s">
        <v>4156</v>
      </c>
      <c r="B372" s="4" t="s">
        <v>3947</v>
      </c>
      <c r="C372" s="4"/>
      <c r="D372" s="4"/>
      <c r="E372" s="4"/>
      <c r="F372" s="4"/>
      <c r="G372" s="4"/>
      <c r="H372" s="1592"/>
      <c r="I372" s="1592"/>
      <c r="J372" s="1592"/>
      <c r="O372" s="136" t="s">
        <v>1881</v>
      </c>
      <c r="P372" s="3116"/>
      <c r="Q372" s="3117"/>
    </row>
    <row r="373" spans="1:32" s="43" customFormat="1" ht="10.5" customHeight="1">
      <c r="A373" s="48" t="s">
        <v>1999</v>
      </c>
      <c r="B373" s="656" t="s">
        <v>3949</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1750</v>
      </c>
      <c r="C374" s="3250" t="s">
        <v>4173</v>
      </c>
      <c r="D374" s="3250"/>
      <c r="E374" s="3250"/>
      <c r="F374" s="3251"/>
      <c r="G374" s="3182"/>
      <c r="H374" s="3183"/>
      <c r="I374" s="3184"/>
      <c r="J374" s="1589" t="s">
        <v>3956</v>
      </c>
      <c r="K374" s="3182"/>
      <c r="L374" s="3183"/>
      <c r="M374" s="3184"/>
      <c r="N374" s="3095" t="s">
        <v>3948</v>
      </c>
      <c r="O374" s="3097"/>
      <c r="P374" s="3252"/>
      <c r="Q374" s="3253"/>
      <c r="AE374" s="51"/>
      <c r="AF374" s="51"/>
    </row>
    <row r="375" spans="1:32" s="43" customFormat="1" ht="10.5" customHeight="1">
      <c r="B375" s="37" t="s">
        <v>1751</v>
      </c>
      <c r="C375" s="53" t="s">
        <v>3950</v>
      </c>
      <c r="I375" s="484" t="s">
        <v>1751</v>
      </c>
      <c r="J375" s="3256"/>
      <c r="K375" s="3257"/>
      <c r="AE375" s="51"/>
      <c r="AF375" s="51"/>
    </row>
    <row r="376" spans="1:32" s="43" customFormat="1" ht="10.5" customHeight="1">
      <c r="A376" s="48"/>
      <c r="B376" s="37" t="s">
        <v>1752</v>
      </c>
      <c r="C376" s="53" t="s">
        <v>3951</v>
      </c>
      <c r="D376" s="47"/>
      <c r="E376" s="138"/>
      <c r="F376" s="3260" t="str">
        <f>'Part I-Project Information'!K40</f>
        <v>Urban</v>
      </c>
      <c r="G376" s="3261"/>
      <c r="H376" s="1594" t="s">
        <v>3952</v>
      </c>
      <c r="I376" s="138"/>
      <c r="J376" s="138"/>
      <c r="K376" s="138"/>
      <c r="L376" s="138"/>
      <c r="M376" s="138"/>
      <c r="N376" s="138"/>
      <c r="O376" s="484" t="s">
        <v>1752</v>
      </c>
      <c r="P376" s="2193"/>
      <c r="Q376" s="561"/>
      <c r="AE376" s="51"/>
      <c r="AF376" s="51"/>
    </row>
    <row r="377" spans="1:32" s="43" customFormat="1" ht="10.5" customHeight="1">
      <c r="A377" s="48"/>
      <c r="B377" s="37" t="s">
        <v>2381</v>
      </c>
      <c r="C377" s="53" t="s">
        <v>3953</v>
      </c>
      <c r="E377" s="138"/>
      <c r="F377" s="138"/>
      <c r="G377" s="138"/>
      <c r="H377" s="138"/>
      <c r="I377" s="138"/>
      <c r="J377" s="3254"/>
      <c r="K377" s="3255"/>
      <c r="L377" s="3262"/>
      <c r="M377" s="3263"/>
      <c r="N377" s="53" t="s">
        <v>3963</v>
      </c>
      <c r="O377" s="484"/>
      <c r="P377" s="2196"/>
      <c r="Q377" s="562"/>
      <c r="AE377" s="51"/>
      <c r="AF377" s="51"/>
    </row>
    <row r="378" spans="1:32" s="43" customFormat="1" ht="10.5" customHeight="1">
      <c r="A378" s="48"/>
      <c r="B378" s="37" t="s">
        <v>1561</v>
      </c>
      <c r="C378" s="53" t="s">
        <v>3954</v>
      </c>
      <c r="E378" s="53"/>
      <c r="F378" s="3258">
        <f>'Part IV-A-Uses of Funds'!J173</f>
        <v>874237</v>
      </c>
      <c r="G378" s="3259"/>
      <c r="H378" s="53" t="s">
        <v>3955</v>
      </c>
      <c r="I378" s="53"/>
      <c r="J378" s="1207" t="str">
        <f>IF(F378&gt;'DCA Underwriting Assumptions'!$Q$129, "Request exceeds DCA per project maximum for set aside!!!","")</f>
        <v>Request exceeds DCA per project maximum for set aside!!!</v>
      </c>
      <c r="K378" s="53"/>
      <c r="L378" s="53"/>
      <c r="O378" s="484" t="s">
        <v>1561</v>
      </c>
      <c r="P378" s="2192"/>
      <c r="Q378" s="563"/>
      <c r="AE378" s="51"/>
      <c r="AF378" s="51"/>
    </row>
    <row r="379" spans="1:32" s="43" customFormat="1" ht="10.5" customHeight="1">
      <c r="A379" s="48"/>
      <c r="B379" s="37" t="s">
        <v>1562</v>
      </c>
      <c r="C379" s="53" t="s">
        <v>3957</v>
      </c>
      <c r="E379" s="53"/>
      <c r="F379" s="53"/>
      <c r="G379" s="53"/>
      <c r="H379" s="53" t="s">
        <v>3617</v>
      </c>
      <c r="I379" s="53"/>
      <c r="J379" s="3254"/>
      <c r="K379" s="3255"/>
      <c r="L379" s="53" t="s">
        <v>3958</v>
      </c>
      <c r="M379" s="3262"/>
      <c r="N379" s="3263"/>
      <c r="AE379" s="51"/>
      <c r="AF379" s="51"/>
    </row>
    <row r="380" spans="1:32" s="43" customFormat="1" ht="10.5" customHeight="1">
      <c r="B380" s="37" t="s">
        <v>99</v>
      </c>
      <c r="C380" s="53" t="s">
        <v>3959</v>
      </c>
      <c r="E380" s="138"/>
      <c r="F380" s="138"/>
      <c r="G380" s="138"/>
      <c r="H380" s="138"/>
      <c r="I380" s="138"/>
      <c r="J380" s="138"/>
      <c r="K380" s="138"/>
      <c r="L380" s="138"/>
      <c r="M380" s="138"/>
      <c r="N380" s="138"/>
      <c r="O380" s="484" t="s">
        <v>99</v>
      </c>
      <c r="P380" s="2209"/>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2001</v>
      </c>
      <c r="B382" s="656" t="s">
        <v>3960</v>
      </c>
      <c r="D382" s="138"/>
      <c r="E382" s="138"/>
      <c r="F382" s="138"/>
      <c r="G382" s="138"/>
      <c r="H382" s="138"/>
      <c r="J382" s="3248" t="s">
        <v>3965</v>
      </c>
      <c r="K382" s="3248"/>
      <c r="L382" s="3248"/>
      <c r="M382" s="3248"/>
      <c r="N382" s="3146" t="s">
        <v>3962</v>
      </c>
      <c r="O382" s="3146"/>
      <c r="P382" s="138"/>
      <c r="Q382" s="138"/>
      <c r="R382" s="138"/>
      <c r="AE382" s="51"/>
      <c r="AF382" s="51"/>
    </row>
    <row r="383" spans="1:32" s="43" customFormat="1" ht="10.5" customHeight="1">
      <c r="B383" s="37" t="s">
        <v>1750</v>
      </c>
      <c r="C383" s="956" t="s">
        <v>3961</v>
      </c>
      <c r="E383" s="1594"/>
      <c r="F383" s="1594"/>
      <c r="G383" s="1594"/>
      <c r="H383" s="1594"/>
      <c r="J383" s="3264"/>
      <c r="K383" s="3265"/>
      <c r="L383" s="3266"/>
      <c r="M383" s="3267"/>
      <c r="N383" s="1208" t="str">
        <f>IF(J383="","",J377/J383)</f>
        <v/>
      </c>
      <c r="O383" s="1209" t="str">
        <f>IF(L383="","",L377/L383)</f>
        <v/>
      </c>
      <c r="P383" s="2193"/>
      <c r="Q383" s="561"/>
      <c r="AE383" s="51"/>
      <c r="AF383" s="51"/>
    </row>
    <row r="384" spans="1:32" s="43" customFormat="1" ht="10.5" customHeight="1">
      <c r="B384" s="37" t="s">
        <v>1751</v>
      </c>
      <c r="C384" s="53" t="s">
        <v>3964</v>
      </c>
      <c r="E384" s="138"/>
      <c r="F384" s="138"/>
      <c r="G384" s="138"/>
      <c r="H384" s="138"/>
      <c r="N384" s="138"/>
      <c r="O384" s="484" t="s">
        <v>1751</v>
      </c>
      <c r="P384" s="2268"/>
      <c r="Q384" s="1454"/>
      <c r="AE384" s="51"/>
      <c r="AF384" s="51"/>
    </row>
    <row r="385" spans="1:32" s="43" customFormat="1" ht="10.5" customHeight="1">
      <c r="B385" s="37" t="s">
        <v>1752</v>
      </c>
      <c r="C385" s="53" t="s">
        <v>3966</v>
      </c>
      <c r="E385" s="138"/>
      <c r="F385" s="138"/>
      <c r="G385" s="138"/>
      <c r="H385" s="138"/>
      <c r="M385" s="138"/>
      <c r="N385" s="138"/>
      <c r="O385" s="484" t="s">
        <v>1752</v>
      </c>
      <c r="P385" s="2192"/>
      <c r="Q385" s="563"/>
      <c r="AE385" s="51"/>
      <c r="AF385" s="51"/>
    </row>
    <row r="386" spans="1:32" ht="10.5" customHeight="1">
      <c r="B386" s="145" t="s">
        <v>3779</v>
      </c>
      <c r="D386" s="145"/>
      <c r="E386" s="145"/>
      <c r="F386" s="145"/>
      <c r="G386" s="145"/>
      <c r="H386" s="41"/>
      <c r="I386" s="1589"/>
      <c r="J386" s="1589"/>
      <c r="K386" s="1589"/>
      <c r="L386" s="1585"/>
      <c r="M386" s="1585"/>
      <c r="N386" s="1585"/>
      <c r="O386" s="1585"/>
      <c r="P386" s="1585"/>
      <c r="Q386" s="955"/>
    </row>
    <row r="387" spans="1:32" ht="31.5" customHeight="1">
      <c r="A387" s="3100" t="s">
        <v>4660</v>
      </c>
      <c r="B387" s="3101"/>
      <c r="C387" s="3101"/>
      <c r="D387" s="3101"/>
      <c r="E387" s="3101"/>
      <c r="F387" s="3101"/>
      <c r="G387" s="3101"/>
      <c r="H387" s="3101"/>
      <c r="I387" s="3101"/>
      <c r="J387" s="3101"/>
      <c r="K387" s="3101"/>
      <c r="L387" s="3101"/>
      <c r="M387" s="3101"/>
      <c r="N387" s="3101"/>
      <c r="O387" s="3101"/>
      <c r="P387" s="3101"/>
      <c r="Q387" s="3102"/>
      <c r="U387" s="140"/>
      <c r="V387" s="140"/>
      <c r="W387" s="140"/>
      <c r="X387" s="140"/>
      <c r="Y387" s="140"/>
      <c r="Z387" s="140"/>
      <c r="AA387" s="140"/>
      <c r="AB387" s="140"/>
      <c r="AC387" s="140"/>
      <c r="AD387" s="140"/>
      <c r="AE387" s="486"/>
    </row>
    <row r="388" spans="1:32" ht="11.25" customHeight="1">
      <c r="B388" s="141" t="s">
        <v>1880</v>
      </c>
      <c r="C388" s="142"/>
      <c r="D388" s="1592"/>
      <c r="E388" s="1592"/>
      <c r="F388" s="1592"/>
      <c r="G388" s="1592"/>
      <c r="H388" s="1592"/>
      <c r="I388" s="1592"/>
      <c r="J388" s="1592"/>
      <c r="K388" s="1592"/>
      <c r="L388" s="1592"/>
      <c r="M388" s="1592"/>
      <c r="N388" s="1592"/>
      <c r="O388" s="1592"/>
      <c r="P388" s="1592"/>
      <c r="Q388" s="1592"/>
    </row>
    <row r="389" spans="1:32" ht="31.5" customHeight="1">
      <c r="A389" s="3159"/>
      <c r="B389" s="3160"/>
      <c r="C389" s="3160"/>
      <c r="D389" s="3160"/>
      <c r="E389" s="3160"/>
      <c r="F389" s="3160"/>
      <c r="G389" s="3160"/>
      <c r="H389" s="3160"/>
      <c r="I389" s="3160"/>
      <c r="J389" s="3160"/>
      <c r="K389" s="3160"/>
      <c r="L389" s="3160"/>
      <c r="M389" s="3160"/>
      <c r="N389" s="3160"/>
      <c r="O389" s="3160"/>
      <c r="P389" s="3160"/>
      <c r="Q389" s="3161"/>
    </row>
    <row r="390" spans="1:32" ht="3.6" customHeight="1">
      <c r="A390" s="1585"/>
      <c r="B390" s="1589"/>
      <c r="C390" s="1592"/>
      <c r="D390" s="1592"/>
      <c r="E390" s="1592"/>
      <c r="F390" s="1592"/>
      <c r="G390" s="1592"/>
      <c r="H390" s="1592"/>
      <c r="I390" s="1592"/>
      <c r="J390" s="1592"/>
      <c r="K390" s="1592"/>
      <c r="L390" s="1592"/>
      <c r="M390" s="1592"/>
      <c r="Q390" s="955"/>
    </row>
    <row r="391" spans="1:32" ht="3" customHeight="1">
      <c r="A391" s="1585"/>
      <c r="B391" s="1589"/>
      <c r="C391" s="1592"/>
      <c r="D391" s="1592"/>
      <c r="E391" s="1592"/>
      <c r="F391" s="1592"/>
      <c r="G391" s="1592"/>
      <c r="H391" s="1592"/>
      <c r="I391" s="1592"/>
      <c r="J391" s="1592"/>
      <c r="K391" s="1592"/>
      <c r="L391" s="1592"/>
      <c r="M391" s="1592"/>
      <c r="Q391" s="955"/>
    </row>
    <row r="392" spans="1:32" ht="13.9" customHeight="1">
      <c r="A392" s="1586" t="s">
        <v>4157</v>
      </c>
      <c r="B392" s="4" t="s">
        <v>2701</v>
      </c>
      <c r="C392" s="4"/>
      <c r="D392" s="4"/>
      <c r="E392" s="4"/>
      <c r="F392" s="4"/>
      <c r="G392" s="4"/>
      <c r="H392" s="1592"/>
      <c r="I392" s="1592"/>
      <c r="J392" s="1592"/>
      <c r="O392" s="136" t="s">
        <v>1881</v>
      </c>
      <c r="P392" s="3116"/>
      <c r="Q392" s="3117"/>
    </row>
    <row r="393" spans="1:32" ht="11.45" customHeight="1">
      <c r="A393" s="48" t="s">
        <v>1999</v>
      </c>
      <c r="B393" s="121" t="s">
        <v>1044</v>
      </c>
      <c r="E393" s="3092"/>
      <c r="F393" s="3093"/>
      <c r="G393" s="3093"/>
      <c r="H393" s="3093"/>
      <c r="I393" s="3094"/>
      <c r="J393" s="3095" t="s">
        <v>2688</v>
      </c>
      <c r="K393" s="3096"/>
      <c r="L393" s="3097"/>
      <c r="M393" s="3092"/>
      <c r="N393" s="3093"/>
      <c r="O393" s="3093"/>
      <c r="P393" s="3093"/>
      <c r="Q393" s="3094"/>
    </row>
    <row r="394" spans="1:32" ht="11.45" customHeight="1">
      <c r="A394" s="48" t="s">
        <v>2001</v>
      </c>
      <c r="B394" s="53" t="s">
        <v>3486</v>
      </c>
      <c r="D394" s="53"/>
      <c r="E394" s="53"/>
      <c r="F394" s="53"/>
      <c r="G394" s="53"/>
      <c r="H394" s="53"/>
      <c r="I394" s="53"/>
      <c r="J394" s="53"/>
      <c r="K394" s="53"/>
      <c r="L394" s="956"/>
      <c r="M394" s="956"/>
      <c r="O394" s="484" t="s">
        <v>2001</v>
      </c>
      <c r="P394" s="2193"/>
      <c r="Q394" s="561"/>
    </row>
    <row r="395" spans="1:32" ht="22.5" customHeight="1">
      <c r="A395" s="146" t="s">
        <v>757</v>
      </c>
      <c r="B395" s="3198" t="s">
        <v>3496</v>
      </c>
      <c r="C395" s="3198"/>
      <c r="D395" s="3198"/>
      <c r="E395" s="3198"/>
      <c r="F395" s="3198"/>
      <c r="G395" s="3198"/>
      <c r="H395" s="3198"/>
      <c r="I395" s="3198"/>
      <c r="J395" s="3198"/>
      <c r="K395" s="3198"/>
      <c r="L395" s="3198"/>
      <c r="M395" s="3198"/>
      <c r="N395" s="3198"/>
      <c r="O395" s="166" t="s">
        <v>757</v>
      </c>
      <c r="P395" s="2262"/>
      <c r="Q395" s="564"/>
    </row>
    <row r="396" spans="1:32">
      <c r="A396" s="48" t="s">
        <v>2131</v>
      </c>
      <c r="B396" s="56" t="s">
        <v>3724</v>
      </c>
      <c r="G396" s="1594"/>
      <c r="H396" s="1594"/>
      <c r="I396" s="1594"/>
      <c r="J396" s="956" t="s">
        <v>3725</v>
      </c>
      <c r="L396" s="1594"/>
      <c r="M396" s="3098">
        <f>'Part III-Sources of Funds'!E11</f>
        <v>0</v>
      </c>
      <c r="N396" s="3099"/>
      <c r="O396" s="484" t="s">
        <v>2131</v>
      </c>
      <c r="P396" s="2192"/>
      <c r="Q396" s="563"/>
    </row>
    <row r="397" spans="1:32" ht="11.25" customHeight="1">
      <c r="B397" s="145" t="s">
        <v>3779</v>
      </c>
      <c r="D397" s="145"/>
      <c r="E397" s="145"/>
      <c r="F397" s="145"/>
      <c r="G397" s="145"/>
      <c r="H397" s="41"/>
      <c r="I397" s="1589"/>
      <c r="J397" s="1589"/>
      <c r="K397" s="1589"/>
      <c r="L397" s="1585"/>
      <c r="M397" s="1585"/>
      <c r="N397" s="1585"/>
      <c r="O397" s="1585"/>
      <c r="P397" s="1585"/>
      <c r="Q397" s="955"/>
    </row>
    <row r="398" spans="1:32" ht="11.45" customHeight="1">
      <c r="A398" s="3100" t="s">
        <v>4660</v>
      </c>
      <c r="B398" s="3101"/>
      <c r="C398" s="3101"/>
      <c r="D398" s="3101"/>
      <c r="E398" s="3101"/>
      <c r="F398" s="3101"/>
      <c r="G398" s="3101"/>
      <c r="H398" s="3101"/>
      <c r="I398" s="3101"/>
      <c r="J398" s="3101"/>
      <c r="K398" s="3101"/>
      <c r="L398" s="3101"/>
      <c r="M398" s="3101"/>
      <c r="N398" s="3101"/>
      <c r="O398" s="3101"/>
      <c r="P398" s="3101"/>
      <c r="Q398" s="3102"/>
      <c r="U398" s="140"/>
      <c r="V398" s="140"/>
      <c r="W398" s="140"/>
      <c r="X398" s="140"/>
      <c r="Y398" s="140"/>
      <c r="Z398" s="140"/>
      <c r="AA398" s="140"/>
      <c r="AB398" s="140"/>
      <c r="AC398" s="140"/>
      <c r="AD398" s="140"/>
      <c r="AE398" s="486"/>
    </row>
    <row r="399" spans="1:32" ht="11.25" customHeight="1">
      <c r="B399" s="141" t="s">
        <v>1880</v>
      </c>
      <c r="C399" s="142"/>
      <c r="D399" s="1592"/>
      <c r="E399" s="1592"/>
      <c r="F399" s="1592"/>
      <c r="G399" s="1592"/>
      <c r="H399" s="1592"/>
      <c r="I399" s="1592"/>
      <c r="J399" s="1592"/>
      <c r="K399" s="1592"/>
      <c r="L399" s="1592"/>
      <c r="M399" s="1592"/>
      <c r="N399" s="1592"/>
      <c r="O399" s="1592"/>
      <c r="P399" s="1592"/>
      <c r="Q399" s="1592"/>
    </row>
    <row r="400" spans="1:32" ht="11.45" customHeight="1">
      <c r="A400" s="3159"/>
      <c r="B400" s="3160"/>
      <c r="C400" s="3160"/>
      <c r="D400" s="3160"/>
      <c r="E400" s="3160"/>
      <c r="F400" s="3160"/>
      <c r="G400" s="3160"/>
      <c r="H400" s="3160"/>
      <c r="I400" s="3160"/>
      <c r="J400" s="3160"/>
      <c r="K400" s="3160"/>
      <c r="L400" s="3160"/>
      <c r="M400" s="3160"/>
      <c r="N400" s="3160"/>
      <c r="O400" s="3160"/>
      <c r="P400" s="3160"/>
      <c r="Q400" s="3161"/>
    </row>
    <row r="401" spans="1:31" ht="3.6" customHeight="1">
      <c r="A401" s="1585"/>
      <c r="B401" s="1589"/>
      <c r="C401" s="1592"/>
      <c r="D401" s="1592"/>
      <c r="E401" s="1592"/>
      <c r="F401" s="1592"/>
      <c r="G401" s="1592"/>
      <c r="H401" s="1592"/>
      <c r="I401" s="1592"/>
      <c r="J401" s="1592"/>
      <c r="K401" s="1592"/>
      <c r="L401" s="1592"/>
      <c r="M401" s="1592"/>
      <c r="Q401" s="955"/>
    </row>
    <row r="402" spans="1:31" ht="13.9" customHeight="1">
      <c r="A402" s="1586" t="s">
        <v>4158</v>
      </c>
      <c r="B402" s="4" t="s">
        <v>2685</v>
      </c>
      <c r="C402" s="4"/>
      <c r="D402" s="4"/>
      <c r="E402" s="1592"/>
      <c r="G402" s="144" t="s">
        <v>708</v>
      </c>
      <c r="H402" s="1592"/>
      <c r="I402" s="1592"/>
      <c r="J402" s="1592"/>
      <c r="K402" s="1592"/>
      <c r="L402" s="1592"/>
      <c r="M402" s="1592"/>
      <c r="O402" s="136" t="s">
        <v>1881</v>
      </c>
      <c r="P402" s="3116"/>
      <c r="Q402" s="3286"/>
    </row>
    <row r="403" spans="1:31" ht="12" customHeight="1">
      <c r="A403" s="48" t="s">
        <v>1999</v>
      </c>
      <c r="B403" s="53" t="s">
        <v>2690</v>
      </c>
      <c r="D403" s="957"/>
      <c r="E403" s="957"/>
      <c r="H403" s="144"/>
      <c r="O403" s="484" t="s">
        <v>1999</v>
      </c>
      <c r="P403" s="2193" t="s">
        <v>3013</v>
      </c>
      <c r="Q403" s="561"/>
    </row>
    <row r="404" spans="1:31" ht="12" customHeight="1">
      <c r="A404" s="48" t="s">
        <v>2001</v>
      </c>
      <c r="B404" s="53" t="s">
        <v>3607</v>
      </c>
      <c r="D404" s="957"/>
      <c r="E404" s="957"/>
      <c r="O404" s="484" t="s">
        <v>2001</v>
      </c>
      <c r="P404" s="2196" t="s">
        <v>3013</v>
      </c>
      <c r="Q404" s="562"/>
    </row>
    <row r="405" spans="1:31" ht="12" customHeight="1">
      <c r="A405" s="48" t="s">
        <v>757</v>
      </c>
      <c r="B405" s="53" t="s">
        <v>4121</v>
      </c>
      <c r="D405" s="957"/>
      <c r="E405" s="957"/>
      <c r="O405" s="484" t="s">
        <v>757</v>
      </c>
      <c r="P405" s="2196" t="s">
        <v>3010</v>
      </c>
      <c r="Q405" s="562"/>
    </row>
    <row r="406" spans="1:31" ht="12" customHeight="1">
      <c r="A406" s="48" t="s">
        <v>2131</v>
      </c>
      <c r="B406" s="53" t="s">
        <v>3608</v>
      </c>
      <c r="E406" s="144"/>
      <c r="O406" s="484" t="s">
        <v>2131</v>
      </c>
      <c r="P406" s="2196" t="s">
        <v>3013</v>
      </c>
      <c r="Q406" s="562"/>
    </row>
    <row r="407" spans="1:31" ht="12" customHeight="1">
      <c r="A407" s="48" t="s">
        <v>1748</v>
      </c>
      <c r="B407" s="53" t="s">
        <v>2095</v>
      </c>
      <c r="E407" s="144"/>
      <c r="G407" s="484" t="s">
        <v>1748</v>
      </c>
      <c r="H407" s="3287" t="s">
        <v>979</v>
      </c>
      <c r="I407" s="3288"/>
      <c r="J407" s="3288"/>
      <c r="K407" s="3288"/>
      <c r="L407" s="3288"/>
      <c r="M407" s="3288"/>
      <c r="N407" s="3288"/>
      <c r="O407" s="3289"/>
      <c r="P407" s="2192"/>
      <c r="Q407" s="563"/>
    </row>
    <row r="408" spans="1:31" ht="11.25" customHeight="1">
      <c r="B408" s="145" t="s">
        <v>3779</v>
      </c>
      <c r="D408" s="145"/>
      <c r="E408" s="145"/>
      <c r="F408" s="145"/>
      <c r="G408" s="145"/>
      <c r="H408" s="41"/>
      <c r="I408" s="1589"/>
      <c r="J408" s="1589"/>
      <c r="K408" s="1589"/>
      <c r="L408" s="1585"/>
      <c r="M408" s="1585"/>
      <c r="N408" s="1585"/>
      <c r="O408" s="1585"/>
      <c r="P408" s="1585"/>
      <c r="Q408" s="955"/>
    </row>
    <row r="409" spans="1:31" ht="24.6" customHeight="1">
      <c r="A409" s="3100" t="s">
        <v>4678</v>
      </c>
      <c r="B409" s="3101"/>
      <c r="C409" s="3101"/>
      <c r="D409" s="3101"/>
      <c r="E409" s="3101"/>
      <c r="F409" s="3101"/>
      <c r="G409" s="3101"/>
      <c r="H409" s="3101"/>
      <c r="I409" s="3101"/>
      <c r="J409" s="3101"/>
      <c r="K409" s="3101"/>
      <c r="L409" s="3101"/>
      <c r="M409" s="3101"/>
      <c r="N409" s="3101"/>
      <c r="O409" s="3101"/>
      <c r="P409" s="3101"/>
      <c r="Q409" s="3102"/>
      <c r="U409" s="140"/>
      <c r="V409" s="140"/>
      <c r="W409" s="140"/>
      <c r="X409" s="140"/>
      <c r="Y409" s="140"/>
      <c r="Z409" s="140"/>
      <c r="AA409" s="140"/>
      <c r="AB409" s="140"/>
      <c r="AC409" s="140"/>
      <c r="AD409" s="140"/>
      <c r="AE409" s="486"/>
    </row>
    <row r="410" spans="1:31" ht="11.25" customHeight="1">
      <c r="B410" s="141" t="s">
        <v>1880</v>
      </c>
      <c r="C410" s="142"/>
      <c r="D410" s="1592"/>
      <c r="E410" s="1592"/>
      <c r="F410" s="1592"/>
      <c r="G410" s="1592"/>
      <c r="H410" s="1592"/>
      <c r="I410" s="1592"/>
      <c r="J410" s="1592"/>
      <c r="K410" s="1592"/>
      <c r="L410" s="1592"/>
      <c r="M410" s="1592"/>
      <c r="N410" s="1592"/>
      <c r="O410" s="1592"/>
      <c r="P410" s="1592"/>
      <c r="Q410" s="1592"/>
    </row>
    <row r="411" spans="1:31" ht="11.45" customHeight="1">
      <c r="A411" s="3159"/>
      <c r="B411" s="3160"/>
      <c r="C411" s="3160"/>
      <c r="D411" s="3160"/>
      <c r="E411" s="3160"/>
      <c r="F411" s="3160"/>
      <c r="G411" s="3160"/>
      <c r="H411" s="3160"/>
      <c r="I411" s="3160"/>
      <c r="J411" s="3160"/>
      <c r="K411" s="3160"/>
      <c r="L411" s="3160"/>
      <c r="M411" s="3160"/>
      <c r="N411" s="3160"/>
      <c r="O411" s="3160"/>
      <c r="P411" s="3160"/>
      <c r="Q411" s="3161"/>
    </row>
    <row r="412" spans="1:31" ht="3" customHeight="1">
      <c r="A412" s="1585"/>
      <c r="B412" s="1589"/>
      <c r="C412" s="1592"/>
      <c r="D412" s="1592"/>
      <c r="E412" s="1592"/>
      <c r="F412" s="1592"/>
      <c r="G412" s="1592"/>
      <c r="H412" s="1592"/>
      <c r="I412" s="1592"/>
      <c r="J412" s="1592"/>
      <c r="K412" s="1592"/>
      <c r="L412" s="1592"/>
      <c r="M412" s="1592"/>
      <c r="N412" s="1592"/>
      <c r="O412" s="1592"/>
      <c r="P412" s="1592"/>
      <c r="Q412" s="1585"/>
    </row>
    <row r="413" spans="1:31" ht="13.9" customHeight="1">
      <c r="A413" s="1586" t="s">
        <v>4159</v>
      </c>
      <c r="B413" s="4" t="s">
        <v>2686</v>
      </c>
      <c r="C413" s="4"/>
      <c r="D413" s="4"/>
      <c r="E413" s="4"/>
      <c r="F413" s="4"/>
      <c r="G413" s="4"/>
      <c r="H413" s="1592"/>
      <c r="I413" s="1592"/>
      <c r="J413" s="1592"/>
      <c r="K413" s="1592"/>
      <c r="L413" s="1592"/>
      <c r="M413" s="1592"/>
      <c r="O413" s="136" t="s">
        <v>1881</v>
      </c>
      <c r="P413" s="3116"/>
      <c r="Q413" s="3286"/>
    </row>
    <row r="414" spans="1:31" ht="12" customHeight="1">
      <c r="A414" s="48" t="s">
        <v>1999</v>
      </c>
      <c r="B414" s="40" t="s">
        <v>760</v>
      </c>
      <c r="D414" s="43"/>
      <c r="E414" s="43"/>
      <c r="F414" s="43"/>
      <c r="G414" s="43"/>
      <c r="H414" s="43"/>
      <c r="I414" s="43"/>
      <c r="J414" s="43"/>
      <c r="K414" s="43"/>
      <c r="L414" s="43"/>
      <c r="M414" s="43"/>
      <c r="N414" s="43"/>
      <c r="O414" s="484" t="s">
        <v>1999</v>
      </c>
      <c r="P414" s="2193" t="s">
        <v>3013</v>
      </c>
      <c r="Q414" s="561"/>
    </row>
    <row r="415" spans="1:31" ht="12" customHeight="1">
      <c r="A415" s="48" t="s">
        <v>2001</v>
      </c>
      <c r="B415" s="37" t="s">
        <v>3498</v>
      </c>
      <c r="D415" s="43"/>
      <c r="E415" s="43"/>
      <c r="F415" s="43"/>
      <c r="G415" s="43"/>
      <c r="H415" s="43"/>
      <c r="I415" s="43"/>
      <c r="J415" s="43"/>
      <c r="K415" s="43"/>
      <c r="L415" s="43"/>
      <c r="M415" s="43"/>
      <c r="N415" s="43"/>
      <c r="O415" s="484" t="s">
        <v>1458</v>
      </c>
      <c r="P415" s="2192"/>
      <c r="Q415" s="563"/>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3497</v>
      </c>
      <c r="E417" s="53"/>
      <c r="F417" s="53"/>
      <c r="G417" s="53"/>
      <c r="H417" s="53"/>
      <c r="I417" s="53"/>
      <c r="J417" s="53"/>
      <c r="K417" s="53"/>
      <c r="L417" s="53"/>
      <c r="M417" s="53"/>
      <c r="N417" s="43"/>
      <c r="O417" s="484" t="s">
        <v>1751</v>
      </c>
      <c r="P417" s="2193"/>
      <c r="Q417" s="561"/>
    </row>
    <row r="418" spans="1:32" s="152" customFormat="1" ht="12" customHeight="1">
      <c r="A418" s="48"/>
      <c r="B418" s="53" t="s">
        <v>3594</v>
      </c>
      <c r="C418" s="53" t="s">
        <v>3595</v>
      </c>
      <c r="E418" s="53"/>
      <c r="F418" s="53"/>
      <c r="G418" s="53"/>
      <c r="H418" s="53"/>
      <c r="I418" s="53"/>
      <c r="J418" s="53"/>
      <c r="K418" s="53"/>
      <c r="L418" s="53"/>
      <c r="M418" s="53"/>
      <c r="N418" s="97"/>
      <c r="O418" s="484" t="s">
        <v>1752</v>
      </c>
      <c r="P418" s="2196"/>
      <c r="Q418" s="562"/>
      <c r="AE418" s="488"/>
      <c r="AF418" s="488"/>
    </row>
    <row r="419" spans="1:32" ht="12" customHeight="1">
      <c r="A419" s="48" t="s">
        <v>757</v>
      </c>
      <c r="B419" s="53" t="s">
        <v>2217</v>
      </c>
      <c r="C419" s="53"/>
      <c r="E419" s="53"/>
      <c r="F419" s="53"/>
      <c r="G419" s="53"/>
      <c r="H419" s="53"/>
      <c r="I419" s="53"/>
      <c r="J419" s="53"/>
      <c r="K419" s="53"/>
      <c r="L419" s="53"/>
      <c r="M419" s="53"/>
      <c r="N419" s="53"/>
      <c r="O419" s="484" t="s">
        <v>757</v>
      </c>
      <c r="P419" s="2192"/>
      <c r="Q419" s="563"/>
    </row>
    <row r="420" spans="1:32" ht="12" customHeight="1">
      <c r="A420" s="48" t="s">
        <v>2131</v>
      </c>
      <c r="B420" s="956" t="s">
        <v>2833</v>
      </c>
      <c r="C420" s="956"/>
      <c r="E420" s="956"/>
      <c r="F420" s="956"/>
      <c r="G420" s="956"/>
      <c r="H420" s="956"/>
      <c r="I420" s="956"/>
      <c r="J420" s="956"/>
      <c r="K420" s="956"/>
      <c r="L420" s="956"/>
      <c r="M420" s="956"/>
      <c r="N420" s="43"/>
      <c r="O420" s="484"/>
      <c r="P420" s="43"/>
      <c r="Q420" s="43"/>
    </row>
    <row r="421" spans="1:32" ht="12" customHeight="1">
      <c r="A421" s="48"/>
      <c r="B421" s="139" t="s">
        <v>2218</v>
      </c>
      <c r="C421" s="37"/>
      <c r="E421" s="43"/>
      <c r="F421" s="956"/>
      <c r="G421" s="2269"/>
      <c r="H421" s="572"/>
      <c r="J421" s="139" t="s">
        <v>2221</v>
      </c>
      <c r="K421" s="956"/>
      <c r="N421" s="2269"/>
      <c r="O421" s="572"/>
    </row>
    <row r="422" spans="1:32" ht="12" customHeight="1">
      <c r="A422" s="48"/>
      <c r="B422" s="139" t="s">
        <v>2219</v>
      </c>
      <c r="C422" s="37"/>
      <c r="E422" s="43"/>
      <c r="F422" s="956"/>
      <c r="G422" s="2270"/>
      <c r="H422" s="573"/>
      <c r="J422" s="139" t="s">
        <v>2222</v>
      </c>
      <c r="K422" s="956"/>
      <c r="N422" s="2271"/>
      <c r="O422" s="574"/>
    </row>
    <row r="423" spans="1:32" ht="12" customHeight="1">
      <c r="A423" s="48"/>
      <c r="B423" s="139" t="s">
        <v>2220</v>
      </c>
      <c r="C423" s="37"/>
      <c r="E423" s="43"/>
      <c r="F423" s="956"/>
      <c r="G423" s="2271"/>
      <c r="H423" s="574"/>
      <c r="K423" s="956"/>
      <c r="L423" s="956"/>
      <c r="M423" s="956"/>
      <c r="N423" s="43"/>
      <c r="O423" s="484"/>
    </row>
    <row r="424" spans="1:32" ht="12" customHeight="1">
      <c r="A424" s="48" t="s">
        <v>1748</v>
      </c>
      <c r="B424" s="956" t="s">
        <v>2401</v>
      </c>
      <c r="C424" s="956"/>
      <c r="E424" s="956"/>
      <c r="F424" s="956"/>
      <c r="G424" s="956"/>
      <c r="J424" s="43"/>
      <c r="K424" s="956"/>
      <c r="L424" s="956"/>
      <c r="M424" s="956"/>
      <c r="N424" s="43"/>
      <c r="O424" s="484"/>
      <c r="P424" s="484"/>
      <c r="Q424" s="484"/>
    </row>
    <row r="425" spans="1:32" ht="12" customHeight="1">
      <c r="A425" s="43"/>
      <c r="B425" s="446" t="s">
        <v>2223</v>
      </c>
      <c r="C425" s="956"/>
      <c r="E425" s="956"/>
      <c r="F425" s="956"/>
      <c r="G425" s="2193"/>
      <c r="H425" s="561"/>
      <c r="J425" s="446" t="s">
        <v>1193</v>
      </c>
      <c r="K425" s="956"/>
      <c r="N425" s="2209"/>
      <c r="O425" s="560"/>
    </row>
    <row r="426" spans="1:32" ht="12" customHeight="1">
      <c r="A426" s="43"/>
      <c r="B426" s="446" t="s">
        <v>1192</v>
      </c>
      <c r="C426" s="956"/>
      <c r="E426" s="956"/>
      <c r="F426" s="956"/>
      <c r="G426" s="2192"/>
      <c r="H426" s="563"/>
      <c r="J426" s="446" t="s">
        <v>2269</v>
      </c>
      <c r="N426" s="3268"/>
      <c r="O426" s="3269"/>
      <c r="P426" s="3269"/>
      <c r="Q426" s="3270"/>
    </row>
    <row r="427" spans="1:32" ht="12" customHeight="1">
      <c r="B427" s="145" t="s">
        <v>3779</v>
      </c>
      <c r="D427" s="145"/>
      <c r="E427" s="145"/>
      <c r="F427" s="145"/>
      <c r="G427" s="145"/>
      <c r="H427" s="41"/>
      <c r="I427" s="1589"/>
      <c r="J427" s="1589"/>
      <c r="K427" s="1589"/>
      <c r="P427" s="1585"/>
      <c r="Q427" s="955"/>
    </row>
    <row r="428" spans="1:32" ht="48" customHeight="1">
      <c r="A428" s="3100" t="s">
        <v>4679</v>
      </c>
      <c r="B428" s="3101"/>
      <c r="C428" s="3101"/>
      <c r="D428" s="3101"/>
      <c r="E428" s="3101"/>
      <c r="F428" s="3101"/>
      <c r="G428" s="3101"/>
      <c r="H428" s="3101"/>
      <c r="I428" s="3101"/>
      <c r="J428" s="3101"/>
      <c r="K428" s="3101"/>
      <c r="L428" s="3101"/>
      <c r="M428" s="3101"/>
      <c r="N428" s="3101"/>
      <c r="O428" s="3101"/>
      <c r="P428" s="3101"/>
      <c r="Q428" s="3102"/>
      <c r="U428" s="140"/>
      <c r="V428" s="140"/>
      <c r="W428" s="140"/>
      <c r="X428" s="140"/>
      <c r="Y428" s="140"/>
      <c r="Z428" s="140"/>
      <c r="AA428" s="140"/>
      <c r="AB428" s="140"/>
      <c r="AC428" s="140"/>
      <c r="AD428" s="140"/>
      <c r="AE428" s="486"/>
    </row>
    <row r="429" spans="1:32" ht="12" customHeight="1">
      <c r="B429" s="141" t="s">
        <v>1880</v>
      </c>
      <c r="C429" s="142"/>
      <c r="D429" s="1592"/>
      <c r="E429" s="1592"/>
      <c r="F429" s="1592"/>
      <c r="G429" s="1592"/>
      <c r="H429" s="1592"/>
      <c r="I429" s="1592"/>
      <c r="J429" s="1592"/>
      <c r="K429" s="1592"/>
      <c r="L429" s="1592"/>
      <c r="M429" s="1592"/>
      <c r="N429" s="1592"/>
      <c r="O429" s="1592"/>
      <c r="P429" s="1592"/>
      <c r="Q429" s="1592"/>
    </row>
    <row r="430" spans="1:32" ht="12" customHeight="1">
      <c r="A430" s="3159"/>
      <c r="B430" s="3160"/>
      <c r="C430" s="3160"/>
      <c r="D430" s="3160"/>
      <c r="E430" s="3160"/>
      <c r="F430" s="3160"/>
      <c r="G430" s="3160"/>
      <c r="H430" s="3160"/>
      <c r="I430" s="3160"/>
      <c r="J430" s="3160"/>
      <c r="K430" s="3160"/>
      <c r="L430" s="3160"/>
      <c r="M430" s="3160"/>
      <c r="N430" s="3160"/>
      <c r="O430" s="3160"/>
      <c r="P430" s="3160"/>
      <c r="Q430" s="3161"/>
    </row>
    <row r="431" spans="1:32" ht="3" customHeight="1">
      <c r="A431" s="1585"/>
      <c r="B431" s="1589"/>
      <c r="C431" s="1592"/>
      <c r="D431" s="1592"/>
      <c r="E431" s="1592"/>
      <c r="F431" s="1592"/>
      <c r="G431" s="1592"/>
      <c r="H431" s="1592"/>
      <c r="I431" s="1592"/>
      <c r="J431" s="1592"/>
      <c r="K431" s="1592"/>
      <c r="L431" s="1592"/>
      <c r="M431" s="1592"/>
      <c r="Q431" s="955"/>
    </row>
    <row r="432" spans="1:32" ht="13.9" customHeight="1">
      <c r="A432" s="1586" t="s">
        <v>4160</v>
      </c>
      <c r="B432" s="4" t="s">
        <v>2834</v>
      </c>
      <c r="C432" s="4"/>
      <c r="D432" s="89"/>
      <c r="E432" s="1592"/>
      <c r="F432" s="1592"/>
      <c r="G432" s="1592"/>
      <c r="H432" s="1592"/>
      <c r="O432" s="136" t="s">
        <v>1881</v>
      </c>
      <c r="P432" s="3116"/>
      <c r="Q432" s="3117"/>
    </row>
    <row r="433" spans="1:32" ht="13.9" customHeight="1">
      <c r="B433" s="89" t="s">
        <v>3967</v>
      </c>
      <c r="C433" s="4"/>
      <c r="D433" s="89"/>
      <c r="E433" s="1592"/>
      <c r="F433" s="1592"/>
      <c r="G433" s="1592"/>
      <c r="H433" s="1592"/>
    </row>
    <row r="434" spans="1:32" s="137" customFormat="1" ht="21.75" customHeight="1">
      <c r="A434" s="146" t="s">
        <v>1999</v>
      </c>
      <c r="B434" s="3271" t="s">
        <v>3970</v>
      </c>
      <c r="C434" s="3271"/>
      <c r="D434" s="3271"/>
      <c r="E434" s="3271"/>
      <c r="F434" s="3271"/>
      <c r="G434" s="3271"/>
      <c r="H434" s="3271"/>
      <c r="I434" s="3271"/>
      <c r="J434" s="3271"/>
      <c r="K434" s="3271"/>
      <c r="L434" s="3271"/>
      <c r="M434" s="3271"/>
      <c r="N434" s="3271"/>
      <c r="O434" s="166" t="s">
        <v>1999</v>
      </c>
      <c r="P434" s="2236" t="s">
        <v>4599</v>
      </c>
      <c r="Q434" s="1261"/>
      <c r="AE434" s="487"/>
      <c r="AF434" s="487"/>
    </row>
    <row r="435" spans="1:32" s="137" customFormat="1" ht="22.5" customHeight="1">
      <c r="A435" s="146" t="s">
        <v>2001</v>
      </c>
      <c r="B435" s="3271" t="s">
        <v>3968</v>
      </c>
      <c r="C435" s="3271"/>
      <c r="D435" s="3271"/>
      <c r="E435" s="3271"/>
      <c r="F435" s="3271"/>
      <c r="G435" s="3271"/>
      <c r="H435" s="3271"/>
      <c r="I435" s="3271"/>
      <c r="J435" s="3271"/>
      <c r="K435" s="3271"/>
      <c r="L435" s="3271"/>
      <c r="M435" s="3271"/>
      <c r="N435" s="3271"/>
      <c r="O435" s="166" t="s">
        <v>2001</v>
      </c>
      <c r="P435" s="2262" t="s">
        <v>4599</v>
      </c>
      <c r="Q435" s="564"/>
      <c r="AE435" s="487"/>
      <c r="AF435" s="487"/>
    </row>
    <row r="436" spans="1:32" s="137" customFormat="1" ht="22.5" customHeight="1">
      <c r="B436" s="3271" t="s">
        <v>3969</v>
      </c>
      <c r="C436" s="3271"/>
      <c r="D436" s="3271"/>
      <c r="E436" s="3271"/>
      <c r="F436" s="3271"/>
      <c r="G436" s="3271"/>
      <c r="H436" s="3271"/>
      <c r="I436" s="3271"/>
      <c r="J436" s="3271"/>
      <c r="K436" s="3271"/>
      <c r="L436" s="3271"/>
      <c r="M436" s="3271"/>
      <c r="N436" s="3271"/>
      <c r="O436" s="166" t="s">
        <v>1750</v>
      </c>
      <c r="P436" s="2262" t="s">
        <v>4599</v>
      </c>
      <c r="Q436" s="564"/>
      <c r="AE436" s="487"/>
      <c r="AF436" s="487"/>
    </row>
    <row r="437" spans="1:32" s="137" customFormat="1" ht="12" customHeight="1">
      <c r="B437" s="405" t="s">
        <v>3971</v>
      </c>
      <c r="D437" s="622"/>
      <c r="E437" s="622"/>
      <c r="F437" s="622"/>
      <c r="G437" s="622"/>
      <c r="H437" s="622"/>
      <c r="I437" s="622"/>
      <c r="J437" s="622"/>
      <c r="K437" s="622"/>
      <c r="L437" s="622"/>
      <c r="M437" s="622"/>
      <c r="N437" s="622"/>
      <c r="O437" s="166" t="s">
        <v>1751</v>
      </c>
      <c r="P437" s="2262" t="s">
        <v>4599</v>
      </c>
      <c r="Q437" s="564"/>
      <c r="AE437" s="487"/>
      <c r="AF437" s="487"/>
    </row>
    <row r="438" spans="1:32" s="137" customFormat="1" ht="36" customHeight="1">
      <c r="B438" s="3271" t="s">
        <v>3972</v>
      </c>
      <c r="C438" s="3271"/>
      <c r="D438" s="3271"/>
      <c r="E438" s="3271"/>
      <c r="F438" s="3271"/>
      <c r="G438" s="3271"/>
      <c r="H438" s="3271"/>
      <c r="I438" s="3271"/>
      <c r="J438" s="3271"/>
      <c r="K438" s="3271"/>
      <c r="L438" s="3271"/>
      <c r="M438" s="3271"/>
      <c r="N438" s="3271"/>
      <c r="O438" s="166" t="s">
        <v>1752</v>
      </c>
      <c r="P438" s="2262" t="s">
        <v>4599</v>
      </c>
      <c r="Q438" s="564"/>
      <c r="AE438" s="487"/>
      <c r="AF438" s="487"/>
    </row>
    <row r="439" spans="1:32" s="137" customFormat="1" ht="22.5" customHeight="1">
      <c r="B439" s="3271" t="s">
        <v>3973</v>
      </c>
      <c r="C439" s="3271"/>
      <c r="D439" s="3271"/>
      <c r="E439" s="3271"/>
      <c r="F439" s="3271"/>
      <c r="G439" s="3271"/>
      <c r="H439" s="3271"/>
      <c r="I439" s="3271"/>
      <c r="J439" s="3271"/>
      <c r="K439" s="3271"/>
      <c r="L439" s="3271"/>
      <c r="M439" s="3271"/>
      <c r="N439" s="3271"/>
      <c r="O439" s="166" t="s">
        <v>2381</v>
      </c>
      <c r="P439" s="2262" t="s">
        <v>4599</v>
      </c>
      <c r="Q439" s="564"/>
      <c r="AE439" s="487"/>
      <c r="AF439" s="487"/>
    </row>
    <row r="440" spans="1:32" s="137" customFormat="1" ht="22.5" customHeight="1">
      <c r="A440" s="146" t="s">
        <v>757</v>
      </c>
      <c r="B440" s="3271" t="s">
        <v>3974</v>
      </c>
      <c r="C440" s="3271"/>
      <c r="D440" s="3271"/>
      <c r="E440" s="3271"/>
      <c r="F440" s="3271"/>
      <c r="G440" s="3271"/>
      <c r="H440" s="3271"/>
      <c r="I440" s="3271"/>
      <c r="J440" s="3271"/>
      <c r="K440" s="3271"/>
      <c r="L440" s="3271"/>
      <c r="M440" s="3271"/>
      <c r="N440" s="3271"/>
      <c r="O440" s="166" t="s">
        <v>757</v>
      </c>
      <c r="P440" s="2262" t="s">
        <v>4599</v>
      </c>
      <c r="Q440" s="564"/>
      <c r="AE440" s="487"/>
      <c r="AF440" s="487"/>
    </row>
    <row r="441" spans="1:32" s="137" customFormat="1" ht="22.5" customHeight="1">
      <c r="A441" s="146" t="s">
        <v>2131</v>
      </c>
      <c r="B441" s="3271" t="s">
        <v>3975</v>
      </c>
      <c r="C441" s="3271"/>
      <c r="D441" s="3271"/>
      <c r="E441" s="3271"/>
      <c r="F441" s="3271"/>
      <c r="G441" s="3271"/>
      <c r="H441" s="3271"/>
      <c r="I441" s="3271"/>
      <c r="J441" s="3271"/>
      <c r="K441" s="3271"/>
      <c r="L441" s="3271"/>
      <c r="M441" s="3271"/>
      <c r="N441" s="3271"/>
      <c r="O441" s="166" t="s">
        <v>2131</v>
      </c>
      <c r="P441" s="2262" t="s">
        <v>4599</v>
      </c>
      <c r="Q441" s="564"/>
      <c r="AE441" s="487"/>
      <c r="AF441" s="487"/>
    </row>
    <row r="442" spans="1:32" s="137" customFormat="1" ht="21.75" customHeight="1">
      <c r="A442" s="146" t="s">
        <v>1748</v>
      </c>
      <c r="B442" s="3271" t="s">
        <v>3976</v>
      </c>
      <c r="C442" s="3271"/>
      <c r="D442" s="3271"/>
      <c r="E442" s="3271"/>
      <c r="F442" s="3271"/>
      <c r="G442" s="3271"/>
      <c r="H442" s="3271"/>
      <c r="I442" s="3271"/>
      <c r="J442" s="3271"/>
      <c r="K442" s="3271"/>
      <c r="L442" s="3271"/>
      <c r="M442" s="3271"/>
      <c r="N442" s="3271"/>
      <c r="O442" s="166" t="s">
        <v>1748</v>
      </c>
      <c r="P442" s="2262" t="s">
        <v>4599</v>
      </c>
      <c r="Q442" s="564"/>
      <c r="AE442" s="487"/>
      <c r="AF442" s="487"/>
    </row>
    <row r="443" spans="1:32" s="429" customFormat="1" ht="21.75" customHeight="1">
      <c r="A443" s="146" t="s">
        <v>1749</v>
      </c>
      <c r="B443" s="3271" t="s">
        <v>3499</v>
      </c>
      <c r="C443" s="3271"/>
      <c r="D443" s="3271"/>
      <c r="E443" s="3271"/>
      <c r="F443" s="3271"/>
      <c r="G443" s="3271"/>
      <c r="H443" s="3271"/>
      <c r="I443" s="3271"/>
      <c r="J443" s="3271"/>
      <c r="K443" s="3271"/>
      <c r="L443" s="3271"/>
      <c r="M443" s="3271"/>
      <c r="N443" s="3271"/>
      <c r="O443" s="166" t="s">
        <v>1749</v>
      </c>
      <c r="P443" s="2249" t="s">
        <v>4599</v>
      </c>
      <c r="Q443" s="1282"/>
      <c r="AE443" s="489"/>
      <c r="AF443" s="489"/>
    </row>
    <row r="444" spans="1:32" ht="11.25" customHeight="1">
      <c r="B444" s="145" t="s">
        <v>3779</v>
      </c>
      <c r="D444" s="145"/>
      <c r="E444" s="145"/>
      <c r="F444" s="145"/>
      <c r="G444" s="145"/>
      <c r="H444" s="41"/>
      <c r="I444" s="1589"/>
      <c r="J444" s="1589"/>
      <c r="K444" s="1589"/>
      <c r="L444" s="1585"/>
      <c r="M444" s="1585"/>
      <c r="N444" s="1585"/>
      <c r="O444" s="1585"/>
      <c r="P444" s="1585"/>
      <c r="Q444" s="955"/>
    </row>
    <row r="445" spans="1:32" ht="58.15" customHeight="1">
      <c r="A445" s="3100" t="s">
        <v>4680</v>
      </c>
      <c r="B445" s="3101"/>
      <c r="C445" s="3101"/>
      <c r="D445" s="3101"/>
      <c r="E445" s="3101"/>
      <c r="F445" s="3101"/>
      <c r="G445" s="3101"/>
      <c r="H445" s="3101"/>
      <c r="I445" s="3101"/>
      <c r="J445" s="3101"/>
      <c r="K445" s="3101"/>
      <c r="L445" s="3101"/>
      <c r="M445" s="3101"/>
      <c r="N445" s="3101"/>
      <c r="O445" s="3101"/>
      <c r="P445" s="3101"/>
      <c r="Q445" s="3102"/>
      <c r="R445" s="461" t="s">
        <v>1266</v>
      </c>
      <c r="S445" s="462"/>
      <c r="U445" s="140"/>
      <c r="V445" s="140"/>
      <c r="W445" s="140"/>
      <c r="X445" s="140"/>
      <c r="Y445" s="140"/>
      <c r="Z445" s="140"/>
      <c r="AA445" s="140"/>
      <c r="AB445" s="140"/>
      <c r="AC445" s="140"/>
      <c r="AD445" s="140"/>
      <c r="AE445" s="486"/>
    </row>
    <row r="446" spans="1:32" ht="11.25" customHeight="1">
      <c r="B446" s="141" t="s">
        <v>1880</v>
      </c>
      <c r="C446" s="142"/>
      <c r="D446" s="1592"/>
      <c r="E446" s="1592"/>
      <c r="F446" s="1592"/>
      <c r="G446" s="1592"/>
      <c r="H446" s="1592"/>
      <c r="I446" s="1592"/>
      <c r="J446" s="1592"/>
      <c r="K446" s="1592"/>
      <c r="L446" s="1592"/>
      <c r="M446" s="1592"/>
      <c r="N446" s="1592"/>
      <c r="O446" s="1592"/>
      <c r="P446" s="1592"/>
      <c r="Q446" s="1592"/>
    </row>
    <row r="447" spans="1:32" ht="22.5" customHeight="1">
      <c r="A447" s="3159"/>
      <c r="B447" s="3160"/>
      <c r="C447" s="3160"/>
      <c r="D447" s="3160"/>
      <c r="E447" s="3160"/>
      <c r="F447" s="3160"/>
      <c r="G447" s="3160"/>
      <c r="H447" s="3160"/>
      <c r="I447" s="3160"/>
      <c r="J447" s="3160"/>
      <c r="K447" s="3160"/>
      <c r="L447" s="3160"/>
      <c r="M447" s="3160"/>
      <c r="N447" s="3160"/>
      <c r="O447" s="3160"/>
      <c r="P447" s="3160"/>
      <c r="Q447" s="3161"/>
    </row>
    <row r="448" spans="1:32" ht="3" customHeight="1">
      <c r="A448" s="1585"/>
      <c r="B448" s="1589"/>
      <c r="C448" s="1592"/>
      <c r="D448" s="1592"/>
      <c r="E448" s="1592"/>
      <c r="F448" s="1592"/>
      <c r="G448" s="1592"/>
      <c r="H448" s="1592"/>
      <c r="I448" s="1592"/>
      <c r="J448" s="1592"/>
      <c r="K448" s="1592"/>
      <c r="L448" s="1592"/>
      <c r="M448" s="1592"/>
      <c r="Q448" s="955"/>
    </row>
    <row r="449" spans="1:32" ht="13.9" customHeight="1">
      <c r="A449" s="1586" t="s">
        <v>4161</v>
      </c>
      <c r="B449" s="4" t="s">
        <v>2687</v>
      </c>
      <c r="C449" s="4"/>
      <c r="D449" s="89"/>
      <c r="E449" s="1592"/>
      <c r="F449" s="1592"/>
      <c r="G449" s="1592"/>
      <c r="H449" s="1592"/>
      <c r="I449" s="1592"/>
      <c r="J449" s="1592"/>
      <c r="K449" s="1592"/>
      <c r="L449" s="1592"/>
      <c r="M449" s="1592"/>
      <c r="O449" s="136" t="s">
        <v>1881</v>
      </c>
      <c r="P449" s="3116"/>
      <c r="Q449" s="3117"/>
    </row>
    <row r="450" spans="1:32" ht="11.25" customHeight="1">
      <c r="A450" s="1586"/>
      <c r="B450" s="145" t="s">
        <v>3779</v>
      </c>
      <c r="D450" s="145"/>
      <c r="E450" s="145"/>
      <c r="F450" s="145"/>
      <c r="G450" s="145"/>
      <c r="H450" s="41"/>
      <c r="I450" s="1589"/>
      <c r="J450" s="1589"/>
      <c r="K450" s="1589"/>
      <c r="L450" s="1585"/>
      <c r="M450" s="1585"/>
      <c r="N450" s="1585"/>
      <c r="O450" s="1585"/>
      <c r="P450" s="1585"/>
      <c r="Q450" s="955"/>
    </row>
    <row r="451" spans="1:32" ht="73.150000000000006" customHeight="1">
      <c r="A451" s="3100" t="s">
        <v>4681</v>
      </c>
      <c r="B451" s="3101"/>
      <c r="C451" s="3101"/>
      <c r="D451" s="3101"/>
      <c r="E451" s="3101"/>
      <c r="F451" s="3101"/>
      <c r="G451" s="3101"/>
      <c r="H451" s="3101"/>
      <c r="I451" s="3101"/>
      <c r="J451" s="3101"/>
      <c r="K451" s="3101"/>
      <c r="L451" s="3101"/>
      <c r="M451" s="3101"/>
      <c r="N451" s="3101"/>
      <c r="O451" s="3101"/>
      <c r="P451" s="3101"/>
      <c r="Q451" s="3102"/>
      <c r="R451" s="461" t="s">
        <v>1266</v>
      </c>
      <c r="S451" s="462"/>
      <c r="U451" s="140"/>
      <c r="V451" s="140"/>
      <c r="W451" s="140"/>
      <c r="X451" s="140"/>
      <c r="Y451" s="140"/>
      <c r="Z451" s="140"/>
      <c r="AA451" s="140"/>
      <c r="AB451" s="140"/>
      <c r="AC451" s="140"/>
      <c r="AD451" s="140"/>
      <c r="AE451" s="486"/>
    </row>
    <row r="452" spans="1:32" ht="11.25" customHeight="1">
      <c r="B452" s="141" t="s">
        <v>1880</v>
      </c>
      <c r="C452" s="142"/>
      <c r="D452" s="1592"/>
      <c r="E452" s="1592"/>
      <c r="F452" s="1592"/>
      <c r="G452" s="1592"/>
      <c r="H452" s="1592"/>
      <c r="I452" s="1592"/>
      <c r="J452" s="1592"/>
      <c r="K452" s="1592"/>
      <c r="L452" s="1592"/>
      <c r="M452" s="1592"/>
      <c r="N452" s="1592"/>
      <c r="O452" s="1592"/>
      <c r="P452" s="1592"/>
      <c r="Q452" s="1592"/>
    </row>
    <row r="453" spans="1:32" ht="22.5" customHeight="1">
      <c r="A453" s="3159"/>
      <c r="B453" s="3160"/>
      <c r="C453" s="3160"/>
      <c r="D453" s="3160"/>
      <c r="E453" s="3160"/>
      <c r="F453" s="3160"/>
      <c r="G453" s="3160"/>
      <c r="H453" s="3160"/>
      <c r="I453" s="3160"/>
      <c r="J453" s="3160"/>
      <c r="K453" s="3160"/>
      <c r="L453" s="3160"/>
      <c r="M453" s="3160"/>
      <c r="N453" s="3160"/>
      <c r="O453" s="3160"/>
      <c r="P453" s="3160"/>
      <c r="Q453" s="3161"/>
    </row>
    <row r="454" spans="1:32" ht="3" customHeight="1">
      <c r="A454" s="1585"/>
      <c r="B454" s="1589"/>
      <c r="C454" s="1592"/>
      <c r="D454" s="1592"/>
      <c r="E454" s="1592"/>
      <c r="F454" s="1592"/>
      <c r="G454" s="1592"/>
      <c r="H454" s="1592"/>
      <c r="I454" s="1592"/>
      <c r="J454" s="1592"/>
      <c r="K454" s="1592"/>
      <c r="L454" s="1592"/>
      <c r="M454" s="1592"/>
      <c r="N454" s="1592"/>
      <c r="O454" s="1592"/>
      <c r="P454" s="1592"/>
      <c r="Q454" s="1585"/>
    </row>
    <row r="455" spans="1:32" s="152" customFormat="1" ht="8.4499999999999993" customHeight="1">
      <c r="A455" s="1585"/>
      <c r="B455" s="1589"/>
      <c r="C455" s="1592"/>
      <c r="D455" s="1592"/>
      <c r="E455" s="1592"/>
      <c r="F455" s="1592"/>
      <c r="G455" s="1592"/>
      <c r="H455" s="1592"/>
      <c r="I455" s="1592"/>
      <c r="J455" s="1592"/>
      <c r="K455" s="1592"/>
      <c r="L455" s="1592"/>
      <c r="M455" s="1592"/>
      <c r="AE455" s="488"/>
      <c r="AF455" s="488"/>
    </row>
    <row r="456" spans="1:32" s="152" customFormat="1" ht="3" customHeight="1">
      <c r="A456" s="1585"/>
      <c r="B456" s="1589"/>
      <c r="C456" s="1592"/>
      <c r="D456" s="1592"/>
      <c r="E456" s="1592"/>
      <c r="F456" s="1592"/>
      <c r="G456" s="1592"/>
      <c r="H456" s="1592"/>
      <c r="I456" s="1592"/>
      <c r="J456" s="1592"/>
      <c r="K456" s="1592"/>
      <c r="L456" s="1592"/>
      <c r="M456" s="1592"/>
      <c r="N456" s="1592"/>
      <c r="O456" s="1592"/>
      <c r="P456" s="1592"/>
      <c r="Q456" s="1585"/>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1" t="s">
        <v>3596</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82"/>
      <c r="P473" s="1582"/>
      <c r="AE473" s="491"/>
      <c r="AF473" s="491"/>
    </row>
    <row r="474" spans="1:32" s="446" customFormat="1" ht="11.25">
      <c r="C474" s="1144" t="s">
        <v>1662</v>
      </c>
      <c r="D474" s="1144"/>
      <c r="E474" s="1144"/>
      <c r="F474" s="1144"/>
      <c r="G474" s="1144"/>
      <c r="H474" s="1144"/>
      <c r="I474" s="1144"/>
      <c r="J474" s="1144" t="s">
        <v>1023</v>
      </c>
      <c r="K474" s="1144"/>
      <c r="L474" s="1145"/>
      <c r="M474" s="1145"/>
      <c r="N474" s="1146"/>
      <c r="O474" s="1145" t="s">
        <v>2903</v>
      </c>
      <c r="P474" s="1147"/>
      <c r="Q474" s="1145"/>
      <c r="R474" s="1145"/>
      <c r="AE474" s="454"/>
      <c r="AF474" s="454"/>
    </row>
    <row r="475" spans="1:32" s="446" customFormat="1" ht="11.25">
      <c r="C475" s="1145" t="s">
        <v>2105</v>
      </c>
      <c r="D475" s="1145"/>
      <c r="E475" s="1145"/>
      <c r="F475" s="1145"/>
      <c r="G475" s="1145"/>
      <c r="H475" s="1145"/>
      <c r="I475" s="1145"/>
      <c r="J475" s="1145" t="s">
        <v>1784</v>
      </c>
      <c r="K475" s="1145"/>
      <c r="L475" s="1145"/>
      <c r="M475" s="1145"/>
      <c r="N475" s="1146"/>
      <c r="O475" s="1145" t="s">
        <v>3863</v>
      </c>
      <c r="P475" s="1147"/>
      <c r="Q475" s="1145"/>
      <c r="R475" s="1145"/>
      <c r="AE475" s="454"/>
      <c r="AF475" s="454"/>
    </row>
    <row r="476" spans="1:32" s="446" customFormat="1" ht="11.25">
      <c r="C476" s="1144" t="s">
        <v>2561</v>
      </c>
      <c r="D476" s="1144"/>
      <c r="E476" s="1144"/>
      <c r="F476" s="1144"/>
      <c r="G476" s="1144"/>
      <c r="H476" s="1144"/>
      <c r="I476" s="1144"/>
      <c r="J476" s="1148" t="s">
        <v>1737</v>
      </c>
      <c r="K476" s="1144"/>
      <c r="L476" s="1145"/>
      <c r="M476" s="1145"/>
      <c r="N476" s="1146"/>
      <c r="O476" s="1145" t="s">
        <v>3864</v>
      </c>
      <c r="P476" s="1147"/>
      <c r="Q476" s="1145"/>
      <c r="R476" s="1145"/>
      <c r="AE476" s="454"/>
      <c r="AF476" s="454"/>
    </row>
    <row r="477" spans="1:32" s="446" customFormat="1" ht="11.25">
      <c r="C477" s="1144" t="s">
        <v>2106</v>
      </c>
      <c r="D477" s="1144"/>
      <c r="E477" s="1144"/>
      <c r="F477" s="1144"/>
      <c r="G477" s="1144"/>
      <c r="H477" s="1144"/>
      <c r="I477" s="1144"/>
      <c r="J477" s="1148" t="s">
        <v>232</v>
      </c>
      <c r="K477" s="1144"/>
      <c r="L477" s="1145"/>
      <c r="M477" s="1145"/>
      <c r="N477" s="1146"/>
      <c r="O477" s="1145" t="s">
        <v>3865</v>
      </c>
      <c r="P477" s="1147"/>
      <c r="Q477" s="1145"/>
      <c r="R477" s="1145"/>
      <c r="AE477" s="454"/>
      <c r="AF477" s="454"/>
    </row>
    <row r="478" spans="1:32" s="446" customFormat="1" ht="11.25">
      <c r="C478" s="1144" t="s">
        <v>2107</v>
      </c>
      <c r="D478" s="1144"/>
      <c r="E478" s="1144"/>
      <c r="F478" s="1144"/>
      <c r="G478" s="1144"/>
      <c r="H478" s="1144"/>
      <c r="I478" s="1144"/>
      <c r="J478" s="1145" t="s">
        <v>1197</v>
      </c>
      <c r="K478" s="1144"/>
      <c r="L478" s="1145"/>
      <c r="M478" s="1145"/>
      <c r="N478" s="1146"/>
      <c r="O478" s="1145" t="s">
        <v>3866</v>
      </c>
      <c r="P478" s="1147"/>
      <c r="Q478" s="1145"/>
      <c r="R478" s="1145"/>
      <c r="AE478" s="454"/>
      <c r="AF478" s="454"/>
    </row>
    <row r="479" spans="1:32" s="446" customFormat="1" ht="11.25">
      <c r="C479" s="1154" t="s">
        <v>2108</v>
      </c>
      <c r="D479" s="1144"/>
      <c r="E479" s="1144"/>
      <c r="F479" s="1144"/>
      <c r="G479" s="1144"/>
      <c r="H479" s="1144"/>
      <c r="I479" s="1144"/>
      <c r="J479" s="1149" t="s">
        <v>2120</v>
      </c>
      <c r="K479" s="1144"/>
      <c r="L479" s="1145"/>
      <c r="M479" s="1145"/>
      <c r="N479" s="1146"/>
      <c r="O479" s="1145" t="s">
        <v>3895</v>
      </c>
      <c r="P479" s="1147"/>
      <c r="Q479" s="1145"/>
      <c r="R479" s="1145"/>
      <c r="AE479" s="454"/>
      <c r="AF479" s="454"/>
    </row>
    <row r="480" spans="1:32" s="446" customFormat="1" ht="11.25">
      <c r="C480" s="1154" t="s">
        <v>2109</v>
      </c>
      <c r="D480" s="1144"/>
      <c r="E480" s="1144"/>
      <c r="F480" s="1144"/>
      <c r="G480" s="1144"/>
      <c r="H480" s="1144"/>
      <c r="I480" s="1144"/>
      <c r="J480" s="1148" t="s">
        <v>1674</v>
      </c>
      <c r="K480" s="1144"/>
      <c r="L480" s="1145"/>
      <c r="M480" s="1145"/>
      <c r="N480" s="1146"/>
      <c r="O480" s="1145" t="s">
        <v>3867</v>
      </c>
      <c r="P480" s="1147"/>
      <c r="Q480" s="1145"/>
      <c r="R480" s="1145"/>
      <c r="AE480" s="454"/>
      <c r="AF480" s="454"/>
    </row>
    <row r="481" spans="3:32" s="446" customFormat="1" ht="11.25">
      <c r="C481" s="1154"/>
      <c r="D481" s="1144"/>
      <c r="E481" s="1144"/>
      <c r="F481" s="1144"/>
      <c r="G481" s="1144"/>
      <c r="H481" s="1144"/>
      <c r="I481" s="1144"/>
      <c r="J481" s="1148" t="s">
        <v>1204</v>
      </c>
      <c r="K481" s="1144"/>
      <c r="L481" s="1145"/>
      <c r="M481" s="1145"/>
      <c r="N481" s="1146"/>
      <c r="O481" s="1145" t="s">
        <v>3868</v>
      </c>
      <c r="P481" s="1147"/>
      <c r="Q481" s="1145"/>
      <c r="R481" s="1145"/>
      <c r="AE481" s="454"/>
      <c r="AF481" s="454"/>
    </row>
    <row r="482" spans="3:32" s="446" customFormat="1" ht="11.25">
      <c r="C482" s="1145" t="s">
        <v>1784</v>
      </c>
      <c r="D482" s="1144"/>
      <c r="E482" s="1144"/>
      <c r="F482" s="1144"/>
      <c r="G482" s="1144"/>
      <c r="H482" s="1144"/>
      <c r="I482" s="1144"/>
      <c r="J482" s="1148" t="s">
        <v>1671</v>
      </c>
      <c r="K482" s="1144"/>
      <c r="L482" s="1145"/>
      <c r="M482" s="1145"/>
      <c r="N482" s="1146"/>
      <c r="O482" s="1145" t="s">
        <v>3869</v>
      </c>
      <c r="P482" s="1147"/>
      <c r="Q482" s="1145"/>
      <c r="R482" s="1145"/>
      <c r="AE482" s="454"/>
      <c r="AF482" s="454"/>
    </row>
    <row r="483" spans="3:32" s="446" customFormat="1" ht="11.25">
      <c r="C483" s="1150" t="s">
        <v>1402</v>
      </c>
      <c r="D483" s="1144"/>
      <c r="E483" s="1144"/>
      <c r="F483" s="1144"/>
      <c r="G483" s="1144"/>
      <c r="H483" s="1144"/>
      <c r="I483" s="1144"/>
      <c r="J483" s="1148" t="s">
        <v>2121</v>
      </c>
      <c r="K483" s="1144"/>
      <c r="L483" s="1145"/>
      <c r="M483" s="1145"/>
      <c r="N483" s="1146"/>
      <c r="O483" s="1145" t="s">
        <v>3870</v>
      </c>
      <c r="P483" s="1147"/>
      <c r="Q483" s="1145"/>
      <c r="R483" s="1145"/>
      <c r="AE483" s="454"/>
      <c r="AF483" s="454"/>
    </row>
    <row r="484" spans="3:32" s="446" customFormat="1" ht="11.25">
      <c r="C484" s="1150" t="s">
        <v>1403</v>
      </c>
      <c r="D484" s="1144"/>
      <c r="E484" s="1144"/>
      <c r="F484" s="1144"/>
      <c r="G484" s="1144"/>
      <c r="H484" s="1144"/>
      <c r="I484" s="1144"/>
      <c r="J484" s="1148" t="s">
        <v>1664</v>
      </c>
      <c r="K484" s="1144"/>
      <c r="L484" s="1145"/>
      <c r="M484" s="1145"/>
      <c r="N484" s="1146"/>
      <c r="O484" s="1147"/>
      <c r="P484" s="1147"/>
      <c r="Q484" s="1145"/>
      <c r="R484" s="1145"/>
      <c r="AE484" s="454"/>
      <c r="AF484" s="454"/>
    </row>
    <row r="485" spans="3:32" s="446" customFormat="1" ht="11.25">
      <c r="C485" s="1155" t="s">
        <v>2149</v>
      </c>
      <c r="D485" s="1144"/>
      <c r="E485" s="1144"/>
      <c r="F485" s="1144"/>
      <c r="G485" s="1144"/>
      <c r="H485" s="1144"/>
      <c r="I485" s="1144"/>
      <c r="J485" s="1148" t="s">
        <v>1205</v>
      </c>
      <c r="K485" s="1144"/>
      <c r="L485" s="1145"/>
      <c r="M485" s="1145"/>
      <c r="N485" s="1146"/>
      <c r="O485" s="1147"/>
      <c r="P485" s="1147"/>
      <c r="Q485" s="1145"/>
      <c r="R485" s="1145"/>
      <c r="AE485" s="454"/>
      <c r="AF485" s="454"/>
    </row>
    <row r="486" spans="3:32" s="446" customFormat="1" ht="11.25">
      <c r="C486" s="1155" t="s">
        <v>1399</v>
      </c>
      <c r="D486" s="1144"/>
      <c r="E486" s="1144"/>
      <c r="F486" s="1144"/>
      <c r="G486" s="1144"/>
      <c r="H486" s="1144"/>
      <c r="I486" s="1144"/>
      <c r="J486" s="1148" t="s">
        <v>597</v>
      </c>
      <c r="K486" s="1144"/>
      <c r="L486" s="1145"/>
      <c r="M486" s="1145"/>
      <c r="N486" s="1146"/>
      <c r="O486" s="1147"/>
      <c r="P486" s="1147"/>
      <c r="Q486" s="1145"/>
      <c r="R486" s="1145"/>
      <c r="AE486" s="454"/>
      <c r="AF486" s="454"/>
    </row>
    <row r="487" spans="3:32" s="446" customFormat="1" ht="11.25">
      <c r="C487" s="1155" t="s">
        <v>1400</v>
      </c>
      <c r="D487" s="1144"/>
      <c r="E487" s="1144"/>
      <c r="F487" s="1144"/>
      <c r="G487" s="1144"/>
      <c r="H487" s="1144"/>
      <c r="I487" s="1144"/>
      <c r="J487" s="1148" t="s">
        <v>1670</v>
      </c>
      <c r="K487" s="1144"/>
      <c r="L487" s="1145"/>
      <c r="M487" s="1145"/>
      <c r="N487" s="1146"/>
      <c r="O487" s="1147"/>
      <c r="P487" s="1147"/>
      <c r="Q487" s="1145"/>
      <c r="R487" s="1145"/>
      <c r="AE487" s="454"/>
      <c r="AF487" s="454"/>
    </row>
    <row r="488" spans="3:32" s="446" customFormat="1" ht="11.25">
      <c r="C488" s="1150" t="s">
        <v>2144</v>
      </c>
      <c r="D488" s="1144"/>
      <c r="E488" s="1144"/>
      <c r="F488" s="1144"/>
      <c r="G488" s="1144"/>
      <c r="H488" s="1144"/>
      <c r="I488" s="1144"/>
      <c r="J488" s="1148" t="s">
        <v>1199</v>
      </c>
      <c r="K488" s="1144"/>
      <c r="L488" s="1145"/>
      <c r="M488" s="1145"/>
      <c r="N488" s="1146"/>
      <c r="O488" s="1147"/>
      <c r="P488" s="1147"/>
      <c r="Q488" s="1145"/>
      <c r="R488" s="1145"/>
      <c r="AE488" s="454"/>
      <c r="AF488" s="454"/>
    </row>
    <row r="489" spans="3:32" s="446" customFormat="1" ht="11.25">
      <c r="C489" s="1150" t="s">
        <v>2145</v>
      </c>
      <c r="D489" s="1144"/>
      <c r="E489" s="1144"/>
      <c r="F489" s="1144"/>
      <c r="G489" s="1144"/>
      <c r="H489" s="1144"/>
      <c r="I489" s="1144"/>
      <c r="J489" s="1148" t="s">
        <v>1198</v>
      </c>
      <c r="K489" s="1145"/>
      <c r="L489" s="1145"/>
      <c r="M489" s="1145"/>
      <c r="N489" s="1146"/>
      <c r="O489" s="1147"/>
      <c r="P489" s="1147"/>
      <c r="Q489" s="1145"/>
      <c r="R489" s="1145"/>
      <c r="AE489" s="454"/>
      <c r="AF489" s="454"/>
    </row>
    <row r="490" spans="3:32" s="446" customFormat="1" ht="11.25">
      <c r="C490" s="1150" t="s">
        <v>2146</v>
      </c>
      <c r="D490" s="1145"/>
      <c r="E490" s="1145"/>
      <c r="F490" s="1145"/>
      <c r="G490" s="1145"/>
      <c r="H490" s="1145"/>
      <c r="I490" s="1145"/>
      <c r="J490" s="1148" t="s">
        <v>1738</v>
      </c>
      <c r="K490" s="1145"/>
      <c r="L490" s="1145"/>
      <c r="M490" s="1145"/>
      <c r="N490" s="1146"/>
      <c r="O490" s="1147"/>
      <c r="P490" s="1147"/>
      <c r="Q490" s="1145"/>
      <c r="R490" s="1145"/>
      <c r="AE490" s="454"/>
      <c r="AF490" s="454"/>
    </row>
    <row r="491" spans="3:32" s="446" customFormat="1" ht="11.25">
      <c r="C491" s="1150" t="s">
        <v>2147</v>
      </c>
      <c r="D491" s="1145"/>
      <c r="E491" s="1145"/>
      <c r="F491" s="1145"/>
      <c r="G491" s="1145"/>
      <c r="H491" s="1145"/>
      <c r="I491" s="1145"/>
      <c r="J491" s="1148" t="s">
        <v>1673</v>
      </c>
      <c r="K491" s="1145"/>
      <c r="L491" s="1145"/>
      <c r="M491" s="1145"/>
      <c r="N491" s="1146"/>
      <c r="O491" s="1147"/>
      <c r="P491" s="1147"/>
      <c r="Q491" s="1145"/>
      <c r="R491" s="1145"/>
      <c r="AE491" s="454"/>
      <c r="AF491" s="454"/>
    </row>
    <row r="492" spans="3:32" s="446" customFormat="1" ht="11.25">
      <c r="C492" s="1150" t="s">
        <v>2148</v>
      </c>
      <c r="D492" s="1145"/>
      <c r="E492" s="1145"/>
      <c r="F492" s="1145"/>
      <c r="G492" s="1145"/>
      <c r="H492" s="1145"/>
      <c r="I492" s="1145"/>
      <c r="J492" s="1148" t="s">
        <v>1665</v>
      </c>
      <c r="K492" s="1145"/>
      <c r="L492" s="1145"/>
      <c r="M492" s="1145"/>
      <c r="N492" s="1146"/>
      <c r="O492" s="1147"/>
      <c r="P492" s="1147"/>
      <c r="Q492" s="1145"/>
      <c r="R492" s="1145"/>
      <c r="AE492" s="454"/>
      <c r="AF492" s="454"/>
    </row>
    <row r="493" spans="3:32" s="446" customFormat="1" ht="11.25">
      <c r="C493" s="1150" t="s">
        <v>1401</v>
      </c>
      <c r="D493" s="1145"/>
      <c r="E493" s="1145"/>
      <c r="F493" s="1145"/>
      <c r="G493" s="1145"/>
      <c r="H493" s="1145"/>
      <c r="I493" s="1145"/>
      <c r="J493" s="1148" t="s">
        <v>2119</v>
      </c>
      <c r="K493" s="1145"/>
      <c r="L493" s="1145"/>
      <c r="M493" s="1145"/>
      <c r="N493" s="1146"/>
      <c r="O493" s="1147"/>
      <c r="P493" s="1147"/>
      <c r="Q493" s="1145"/>
      <c r="R493" s="1145"/>
      <c r="AE493" s="454"/>
      <c r="AF493" s="454"/>
    </row>
    <row r="494" spans="3:32" s="446" customFormat="1" ht="11.25">
      <c r="C494" s="1150" t="s">
        <v>2298</v>
      </c>
      <c r="D494" s="1145"/>
      <c r="E494" s="1145"/>
      <c r="F494" s="1145"/>
      <c r="G494" s="1145"/>
      <c r="H494" s="1145"/>
      <c r="I494" s="1145"/>
      <c r="J494" s="1145"/>
      <c r="K494" s="1145"/>
      <c r="L494" s="1145"/>
      <c r="M494" s="1145"/>
      <c r="N494" s="1146"/>
      <c r="O494" s="1147"/>
      <c r="P494" s="1147"/>
      <c r="Q494" s="1145"/>
      <c r="R494" s="1145"/>
      <c r="AE494" s="454"/>
      <c r="AF494" s="454"/>
    </row>
    <row r="495" spans="3:32" s="446" customFormat="1" ht="11.25">
      <c r="C495" s="1145"/>
      <c r="D495" s="1145"/>
      <c r="E495" s="1145"/>
      <c r="F495" s="1145"/>
      <c r="G495" s="1145"/>
      <c r="H495" s="1145"/>
      <c r="I495" s="1145"/>
      <c r="J495" s="1145"/>
      <c r="K495" s="1145"/>
      <c r="L495" s="1145"/>
      <c r="M495" s="1145"/>
      <c r="N495" s="1146"/>
      <c r="O495" s="1147"/>
      <c r="P495" s="1147"/>
      <c r="Q495" s="1145"/>
      <c r="R495" s="1145"/>
      <c r="AE495" s="454"/>
      <c r="AF495" s="454"/>
    </row>
    <row r="496" spans="3:32" s="56" customFormat="1" ht="11.25">
      <c r="C496" s="1152" t="s">
        <v>1601</v>
      </c>
      <c r="D496" s="1144"/>
      <c r="E496" s="1144"/>
      <c r="F496" s="1144"/>
      <c r="G496" s="1144"/>
      <c r="H496" s="1144"/>
      <c r="I496" s="1144"/>
      <c r="J496" s="1144"/>
      <c r="K496" s="1144"/>
      <c r="L496" s="1144"/>
      <c r="M496" s="1144"/>
      <c r="N496" s="1144"/>
      <c r="O496" s="1147"/>
      <c r="P496" s="1144"/>
      <c r="Q496" s="1144"/>
      <c r="R496" s="1144"/>
      <c r="AE496" s="430"/>
      <c r="AF496" s="430"/>
    </row>
    <row r="497" spans="3:32" s="56" customFormat="1" ht="11.25">
      <c r="C497" s="1144" t="s">
        <v>1784</v>
      </c>
      <c r="D497" s="1144"/>
      <c r="E497" s="1144"/>
      <c r="F497" s="1144"/>
      <c r="G497" s="1144"/>
      <c r="H497" s="1144"/>
      <c r="I497" s="1144"/>
      <c r="J497" s="1144"/>
      <c r="K497" s="1144"/>
      <c r="L497" s="1144"/>
      <c r="M497" s="1144"/>
      <c r="N497" s="1144"/>
      <c r="O497" s="1144"/>
      <c r="P497" s="1144"/>
      <c r="Q497" s="1144"/>
      <c r="R497" s="1144"/>
      <c r="AE497" s="430"/>
      <c r="AF497" s="430"/>
    </row>
    <row r="498" spans="3:32" s="56" customFormat="1" ht="11.25">
      <c r="C498" s="1144" t="s">
        <v>2105</v>
      </c>
      <c r="D498" s="1144"/>
      <c r="E498" s="1145"/>
      <c r="F498" s="1145"/>
      <c r="G498" s="1145"/>
      <c r="H498" s="1145"/>
      <c r="I498" s="1145"/>
      <c r="J498" s="1145"/>
      <c r="K498" s="1145"/>
      <c r="L498" s="1145"/>
      <c r="M498" s="1145"/>
      <c r="N498" s="1144"/>
      <c r="O498" s="1144"/>
      <c r="P498" s="1144"/>
      <c r="Q498" s="1144"/>
      <c r="R498" s="1144"/>
      <c r="AE498" s="430"/>
      <c r="AF498" s="430"/>
    </row>
    <row r="499" spans="3:32" s="56" customFormat="1" ht="11.25">
      <c r="C499" s="1144" t="s">
        <v>2561</v>
      </c>
      <c r="D499" s="1145"/>
      <c r="E499" s="1145"/>
      <c r="F499" s="1145"/>
      <c r="G499" s="1145"/>
      <c r="H499" s="1144"/>
      <c r="I499" s="1145"/>
      <c r="J499" s="1145"/>
      <c r="K499" s="1145"/>
      <c r="L499" s="1145"/>
      <c r="M499" s="1145"/>
      <c r="N499" s="1144"/>
      <c r="O499" s="1144"/>
      <c r="P499" s="1144"/>
      <c r="Q499" s="1144"/>
      <c r="R499" s="1144"/>
      <c r="AE499" s="430"/>
      <c r="AF499" s="430"/>
    </row>
    <row r="500" spans="3:32" s="56" customFormat="1" ht="11.25">
      <c r="C500" s="1144" t="s">
        <v>2106</v>
      </c>
      <c r="D500" s="1145"/>
      <c r="E500" s="1145"/>
      <c r="F500" s="1145"/>
      <c r="G500" s="1145"/>
      <c r="H500" s="1145"/>
      <c r="I500" s="1145"/>
      <c r="J500" s="1145"/>
      <c r="K500" s="1145"/>
      <c r="L500" s="1145"/>
      <c r="M500" s="1145"/>
      <c r="N500" s="1144"/>
      <c r="O500" s="1144"/>
      <c r="P500" s="1144"/>
      <c r="Q500" s="1144"/>
      <c r="R500" s="1144"/>
      <c r="AE500" s="430"/>
      <c r="AF500" s="430"/>
    </row>
    <row r="501" spans="3:32" s="56" customFormat="1" ht="11.25">
      <c r="C501" s="1144" t="s">
        <v>1663</v>
      </c>
      <c r="D501" s="1145"/>
      <c r="E501" s="1145"/>
      <c r="F501" s="1145"/>
      <c r="G501" s="1145"/>
      <c r="H501" s="1144"/>
      <c r="I501" s="1145"/>
      <c r="J501" s="1145"/>
      <c r="K501" s="1145"/>
      <c r="L501" s="1145"/>
      <c r="M501" s="1145"/>
      <c r="N501" s="1144"/>
      <c r="O501" s="1144"/>
      <c r="P501" s="1144"/>
      <c r="Q501" s="1144"/>
      <c r="R501" s="1144"/>
      <c r="AE501" s="430"/>
      <c r="AF501" s="430"/>
    </row>
    <row r="502" spans="3:32" s="56" customFormat="1" ht="11.25">
      <c r="C502" s="1154" t="s">
        <v>2027</v>
      </c>
      <c r="D502" s="1145"/>
      <c r="E502" s="1145"/>
      <c r="F502" s="1145"/>
      <c r="G502" s="1145"/>
      <c r="H502" s="1144"/>
      <c r="I502" s="1145"/>
      <c r="J502" s="1145"/>
      <c r="K502" s="1145"/>
      <c r="L502" s="1145"/>
      <c r="M502" s="1145"/>
      <c r="N502" s="1144"/>
      <c r="O502" s="1144"/>
      <c r="P502" s="1144"/>
      <c r="Q502" s="1144"/>
      <c r="R502" s="1144"/>
      <c r="AE502" s="430"/>
      <c r="AF502" s="430"/>
    </row>
    <row r="503" spans="3:32" s="56" customFormat="1" ht="11.25">
      <c r="C503" s="1144" t="s">
        <v>232</v>
      </c>
      <c r="D503" s="1145"/>
      <c r="E503" s="1145"/>
      <c r="F503" s="1145"/>
      <c r="G503" s="1145"/>
      <c r="H503" s="1144"/>
      <c r="I503" s="1145"/>
      <c r="J503" s="1144"/>
      <c r="K503" s="1145"/>
      <c r="L503" s="1145"/>
      <c r="M503" s="1145"/>
      <c r="N503" s="1144"/>
      <c r="O503" s="1144"/>
      <c r="P503" s="1144"/>
      <c r="Q503" s="1144"/>
      <c r="R503" s="1144"/>
      <c r="AE503" s="430"/>
      <c r="AF503" s="430"/>
    </row>
    <row r="504" spans="3:32" s="56" customFormat="1" ht="11.25">
      <c r="C504" s="1144" t="s">
        <v>1664</v>
      </c>
      <c r="D504" s="1145"/>
      <c r="E504" s="1145"/>
      <c r="F504" s="1145"/>
      <c r="G504" s="1145"/>
      <c r="H504" s="1144"/>
      <c r="I504" s="1145"/>
      <c r="J504" s="1144"/>
      <c r="K504" s="1145"/>
      <c r="L504" s="1145"/>
      <c r="M504" s="1145"/>
      <c r="N504" s="1144"/>
      <c r="O504" s="1144"/>
      <c r="P504" s="1144"/>
      <c r="Q504" s="1144"/>
      <c r="R504" s="1144"/>
      <c r="AE504" s="430"/>
      <c r="AF504" s="430"/>
    </row>
    <row r="505" spans="3:32" s="56" customFormat="1" ht="11.25">
      <c r="C505" s="1144" t="s">
        <v>1665</v>
      </c>
      <c r="D505" s="1145"/>
      <c r="E505" s="1145"/>
      <c r="F505" s="1145"/>
      <c r="G505" s="1145"/>
      <c r="H505" s="1144"/>
      <c r="I505" s="1145"/>
      <c r="J505" s="1144"/>
      <c r="K505" s="1145"/>
      <c r="L505" s="1145"/>
      <c r="M505" s="1145"/>
      <c r="N505" s="1144"/>
      <c r="O505" s="1144"/>
      <c r="P505" s="1144"/>
      <c r="Q505" s="1144"/>
      <c r="R505" s="1144"/>
      <c r="AE505" s="430"/>
      <c r="AF505" s="430"/>
    </row>
    <row r="506" spans="3:32" s="56" customFormat="1" ht="11.25">
      <c r="C506" s="1144" t="s">
        <v>2521</v>
      </c>
      <c r="D506" s="1145"/>
      <c r="E506" s="1145"/>
      <c r="F506" s="1145"/>
      <c r="G506" s="1145"/>
      <c r="H506" s="1145"/>
      <c r="I506" s="1145"/>
      <c r="J506" s="1145"/>
      <c r="K506" s="1145"/>
      <c r="L506" s="1145"/>
      <c r="M506" s="1145"/>
      <c r="N506" s="1144"/>
      <c r="O506" s="1144"/>
      <c r="P506" s="1144"/>
      <c r="Q506" s="1144"/>
      <c r="R506" s="1144"/>
      <c r="AE506" s="430"/>
      <c r="AF506" s="430"/>
    </row>
    <row r="507" spans="3:32" s="56" customFormat="1" ht="11.25">
      <c r="C507" s="1144" t="s">
        <v>1602</v>
      </c>
      <c r="D507" s="1145"/>
      <c r="E507" s="1145"/>
      <c r="F507" s="1145"/>
      <c r="G507" s="1145"/>
      <c r="H507" s="1145"/>
      <c r="I507" s="1145"/>
      <c r="J507" s="1145"/>
      <c r="K507" s="1145"/>
      <c r="L507" s="1145"/>
      <c r="M507" s="1145"/>
      <c r="N507" s="1144"/>
      <c r="O507" s="1144"/>
      <c r="P507" s="1144"/>
      <c r="Q507" s="1144"/>
      <c r="R507" s="1144"/>
      <c r="AE507" s="430"/>
      <c r="AF507" s="430"/>
    </row>
    <row r="508" spans="3:32" s="56" customFormat="1" ht="11.25">
      <c r="C508" s="1144" t="s">
        <v>1667</v>
      </c>
      <c r="D508" s="1145"/>
      <c r="E508" s="1145"/>
      <c r="F508" s="1145"/>
      <c r="G508" s="1145"/>
      <c r="H508" s="1145"/>
      <c r="I508" s="1145"/>
      <c r="J508" s="1145"/>
      <c r="K508" s="1145"/>
      <c r="L508" s="1145"/>
      <c r="M508" s="1145"/>
      <c r="N508" s="1144"/>
      <c r="O508" s="1144"/>
      <c r="P508" s="1144"/>
      <c r="Q508" s="1144"/>
      <c r="R508" s="1144"/>
      <c r="AE508" s="430"/>
      <c r="AF508" s="430"/>
    </row>
    <row r="509" spans="3:32" s="56" customFormat="1" ht="11.25">
      <c r="C509" s="1144" t="s">
        <v>2524</v>
      </c>
      <c r="D509" s="1145"/>
      <c r="E509" s="1145"/>
      <c r="F509" s="1145"/>
      <c r="G509" s="1145"/>
      <c r="H509" s="1145"/>
      <c r="I509" s="1145"/>
      <c r="J509" s="1145"/>
      <c r="K509" s="1145"/>
      <c r="L509" s="1145"/>
      <c r="M509" s="1145"/>
      <c r="N509" s="1144"/>
      <c r="O509" s="1144"/>
      <c r="P509" s="1144"/>
      <c r="Q509" s="1144"/>
      <c r="R509" s="1144"/>
      <c r="AE509" s="430"/>
      <c r="AF509" s="430"/>
    </row>
    <row r="510" spans="3:32" s="56" customFormat="1" ht="11.25">
      <c r="C510" s="1144" t="s">
        <v>1669</v>
      </c>
      <c r="D510" s="1145"/>
      <c r="E510" s="1145"/>
      <c r="F510" s="1145"/>
      <c r="G510" s="1145"/>
      <c r="H510" s="1145"/>
      <c r="I510" s="1145"/>
      <c r="J510" s="1145"/>
      <c r="K510" s="1145"/>
      <c r="L510" s="1145"/>
      <c r="M510" s="1145"/>
      <c r="N510" s="1144" t="s">
        <v>2522</v>
      </c>
      <c r="O510" s="1144"/>
      <c r="P510" s="1144"/>
      <c r="Q510" s="1144"/>
      <c r="R510" s="1144"/>
      <c r="AE510" s="430"/>
      <c r="AF510" s="430"/>
    </row>
    <row r="511" spans="3:32" s="56" customFormat="1" ht="11.25">
      <c r="C511" s="1144" t="s">
        <v>1670</v>
      </c>
      <c r="D511" s="1145"/>
      <c r="E511" s="1145"/>
      <c r="F511" s="1145"/>
      <c r="G511" s="1145"/>
      <c r="H511" s="1145"/>
      <c r="I511" s="1145"/>
      <c r="J511" s="1145"/>
      <c r="K511" s="1145"/>
      <c r="L511" s="1145"/>
      <c r="M511" s="1145"/>
      <c r="N511" s="1144"/>
      <c r="O511" s="1144"/>
      <c r="P511" s="1144"/>
      <c r="Q511" s="1144"/>
      <c r="R511" s="1144"/>
      <c r="AE511" s="430"/>
      <c r="AF511" s="430"/>
    </row>
    <row r="512" spans="3:32" s="56" customFormat="1" ht="11.25">
      <c r="C512" s="1144" t="s">
        <v>1671</v>
      </c>
      <c r="D512" s="1145"/>
      <c r="E512" s="1145"/>
      <c r="F512" s="1145"/>
      <c r="G512" s="1145"/>
      <c r="H512" s="1145"/>
      <c r="I512" s="1145"/>
      <c r="J512" s="1145"/>
      <c r="K512" s="1145"/>
      <c r="L512" s="1145"/>
      <c r="M512" s="1145"/>
      <c r="N512" s="1144"/>
      <c r="O512" s="1144"/>
      <c r="P512" s="1144"/>
      <c r="Q512" s="1144"/>
      <c r="R512" s="1144"/>
      <c r="AE512" s="430"/>
      <c r="AF512" s="430"/>
    </row>
    <row r="513" spans="3:32" s="56" customFormat="1" ht="11.25">
      <c r="C513" s="1144" t="s">
        <v>597</v>
      </c>
      <c r="D513" s="1145"/>
      <c r="E513" s="1145"/>
      <c r="F513" s="1145"/>
      <c r="G513" s="1145"/>
      <c r="H513" s="1145"/>
      <c r="I513" s="1145"/>
      <c r="J513" s="1145"/>
      <c r="K513" s="1145"/>
      <c r="L513" s="1145"/>
      <c r="M513" s="1145"/>
      <c r="N513" s="1144"/>
      <c r="O513" s="1144"/>
      <c r="P513" s="1144"/>
      <c r="Q513" s="1144"/>
      <c r="R513" s="1144"/>
      <c r="AE513" s="430"/>
      <c r="AF513" s="430"/>
    </row>
    <row r="514" spans="3:32" s="56" customFormat="1" ht="11.25">
      <c r="C514" s="1144" t="s">
        <v>1672</v>
      </c>
      <c r="D514" s="1145"/>
      <c r="E514" s="1145"/>
      <c r="F514" s="1145"/>
      <c r="G514" s="1145"/>
      <c r="H514" s="1145"/>
      <c r="I514" s="1145"/>
      <c r="J514" s="1145"/>
      <c r="K514" s="1145"/>
      <c r="L514" s="1145"/>
      <c r="M514" s="1145"/>
      <c r="N514" s="1144"/>
      <c r="O514" s="1144"/>
      <c r="P514" s="1144"/>
      <c r="Q514" s="1144"/>
      <c r="R514" s="1144"/>
      <c r="AE514" s="430"/>
      <c r="AF514" s="430"/>
    </row>
    <row r="515" spans="3:32" s="56" customFormat="1" ht="11.25">
      <c r="C515" s="1144" t="s">
        <v>1890</v>
      </c>
      <c r="D515" s="1145"/>
      <c r="E515" s="1145"/>
      <c r="F515" s="1145"/>
      <c r="G515" s="1145"/>
      <c r="H515" s="1145"/>
      <c r="I515" s="1145"/>
      <c r="J515" s="1145"/>
      <c r="K515" s="1145"/>
      <c r="L515" s="1145"/>
      <c r="M515" s="1145"/>
      <c r="N515" s="1144"/>
      <c r="O515" s="1144"/>
      <c r="P515" s="1144"/>
      <c r="Q515" s="1144"/>
      <c r="R515" s="1144"/>
      <c r="AE515" s="430"/>
      <c r="AF515" s="430"/>
    </row>
    <row r="516" spans="3:32" s="56" customFormat="1" ht="11.25">
      <c r="C516" s="1144" t="s">
        <v>231</v>
      </c>
      <c r="D516" s="1145"/>
      <c r="E516" s="1145"/>
      <c r="F516" s="1145"/>
      <c r="G516" s="1145"/>
      <c r="H516" s="1145"/>
      <c r="I516" s="1145"/>
      <c r="J516" s="1145"/>
      <c r="K516" s="1145"/>
      <c r="L516" s="1145"/>
      <c r="M516" s="1145"/>
      <c r="N516" s="1144"/>
      <c r="O516" s="1144"/>
      <c r="P516" s="1144"/>
      <c r="Q516" s="1144"/>
      <c r="R516" s="1144"/>
      <c r="AE516" s="430"/>
      <c r="AF516" s="430"/>
    </row>
    <row r="517" spans="3:32" s="56" customFormat="1" ht="11.25">
      <c r="C517" s="1144"/>
      <c r="D517" s="1144"/>
      <c r="E517" s="1144"/>
      <c r="F517" s="1144"/>
      <c r="G517" s="1144"/>
      <c r="H517" s="1144"/>
      <c r="I517" s="1144"/>
      <c r="J517" s="1144"/>
      <c r="K517" s="1144"/>
      <c r="L517" s="1144"/>
      <c r="M517" s="1144"/>
      <c r="N517" s="1144"/>
      <c r="O517" s="1144"/>
      <c r="P517" s="1144"/>
      <c r="Q517" s="1144"/>
      <c r="R517" s="1144"/>
      <c r="AE517" s="430"/>
      <c r="AF517" s="430"/>
    </row>
    <row r="518" spans="3:32" s="56" customFormat="1" ht="11.25">
      <c r="C518" s="1152" t="s">
        <v>1802</v>
      </c>
      <c r="D518" s="1144"/>
      <c r="E518" s="1144"/>
      <c r="F518" s="1144"/>
      <c r="G518" s="1144"/>
      <c r="H518" s="1144"/>
      <c r="I518" s="1144"/>
      <c r="J518" s="1144"/>
      <c r="K518" s="1144"/>
      <c r="L518" s="1144"/>
      <c r="M518" s="1144"/>
      <c r="N518" s="1144"/>
      <c r="O518" s="1144"/>
      <c r="P518" s="1144"/>
      <c r="Q518" s="1144"/>
      <c r="R518" s="1144"/>
      <c r="AE518" s="430"/>
      <c r="AF518" s="430"/>
    </row>
    <row r="519" spans="3:32" s="56" customFormat="1" ht="11.25">
      <c r="C519" s="1144" t="s">
        <v>936</v>
      </c>
      <c r="D519" s="1144"/>
      <c r="E519" s="1144"/>
      <c r="F519" s="1144"/>
      <c r="G519" s="1144"/>
      <c r="H519" s="1144"/>
      <c r="I519" s="1144"/>
      <c r="J519" s="1144"/>
      <c r="K519" s="1144"/>
      <c r="L519" s="1144"/>
      <c r="M519" s="1144"/>
      <c r="N519" s="1144"/>
      <c r="O519" s="1144"/>
      <c r="P519" s="1144"/>
      <c r="Q519" s="1144"/>
      <c r="R519" s="1144"/>
      <c r="AE519" s="430"/>
      <c r="AF519" s="430"/>
    </row>
    <row r="520" spans="3:32" s="56" customFormat="1" ht="11.25">
      <c r="C520" s="1150" t="s">
        <v>1642</v>
      </c>
      <c r="D520" s="1144"/>
      <c r="E520" s="1144"/>
      <c r="F520" s="1144"/>
      <c r="G520" s="1144"/>
      <c r="H520" s="1144"/>
      <c r="I520" s="1144"/>
      <c r="J520" s="1144"/>
      <c r="K520" s="1144"/>
      <c r="L520" s="1144"/>
      <c r="M520" s="1144"/>
      <c r="N520" s="1144"/>
      <c r="O520" s="1144"/>
      <c r="P520" s="1144"/>
      <c r="Q520" s="1144"/>
      <c r="R520" s="1144"/>
      <c r="AE520" s="430"/>
      <c r="AF520" s="430"/>
    </row>
    <row r="521" spans="3:32" s="56" customFormat="1" ht="11.25">
      <c r="C521" s="1150" t="s">
        <v>727</v>
      </c>
      <c r="D521" s="1144"/>
      <c r="E521" s="1144"/>
      <c r="F521" s="1144"/>
      <c r="G521" s="1144"/>
      <c r="H521" s="1144"/>
      <c r="I521" s="1144"/>
      <c r="J521" s="1144"/>
      <c r="K521" s="1144"/>
      <c r="L521" s="1150"/>
      <c r="M521" s="1144"/>
      <c r="N521" s="1144"/>
      <c r="O521" s="1144"/>
      <c r="P521" s="1144"/>
      <c r="Q521" s="1144"/>
      <c r="R521" s="1144"/>
      <c r="AE521" s="430"/>
      <c r="AF521" s="430"/>
    </row>
    <row r="522" spans="3:32" s="56" customFormat="1" ht="11.25">
      <c r="C522" s="1150" t="s">
        <v>728</v>
      </c>
      <c r="D522" s="1144"/>
      <c r="E522" s="1144"/>
      <c r="F522" s="1144"/>
      <c r="G522" s="1144"/>
      <c r="H522" s="1144"/>
      <c r="I522" s="1144"/>
      <c r="J522" s="1144"/>
      <c r="K522" s="1144"/>
      <c r="L522" s="1150"/>
      <c r="M522" s="1144"/>
      <c r="N522" s="1144"/>
      <c r="O522" s="1144"/>
      <c r="P522" s="1144"/>
      <c r="Q522" s="1144"/>
      <c r="R522" s="1144"/>
      <c r="AE522" s="430"/>
      <c r="AF522" s="430"/>
    </row>
    <row r="523" spans="3:32" s="56" customFormat="1" ht="11.25">
      <c r="C523" s="1150" t="s">
        <v>2172</v>
      </c>
      <c r="D523" s="1144"/>
      <c r="E523" s="1144"/>
      <c r="F523" s="1144"/>
      <c r="G523" s="1144"/>
      <c r="H523" s="1144"/>
      <c r="I523" s="1144"/>
      <c r="J523" s="1144"/>
      <c r="K523" s="1144"/>
      <c r="L523" s="1150"/>
      <c r="M523" s="1144"/>
      <c r="N523" s="1144"/>
      <c r="O523" s="1144"/>
      <c r="P523" s="1144"/>
      <c r="Q523" s="1144"/>
      <c r="R523" s="1144"/>
      <c r="AE523" s="430"/>
      <c r="AF523" s="430"/>
    </row>
    <row r="524" spans="3:32" s="56" customFormat="1" ht="11.25">
      <c r="C524" s="1150" t="s">
        <v>127</v>
      </c>
      <c r="D524" s="1144"/>
      <c r="E524" s="1144"/>
      <c r="F524" s="1144"/>
      <c r="G524" s="1144"/>
      <c r="H524" s="1144"/>
      <c r="I524" s="1144"/>
      <c r="J524" s="1144"/>
      <c r="K524" s="1144"/>
      <c r="L524" s="1150"/>
      <c r="M524" s="1144"/>
      <c r="N524" s="1144"/>
      <c r="O524" s="1144"/>
      <c r="P524" s="1144"/>
      <c r="Q524" s="1144"/>
      <c r="R524" s="1144"/>
      <c r="AE524" s="430"/>
      <c r="AF524" s="430"/>
    </row>
    <row r="525" spans="3:32" s="56" customFormat="1" ht="11.25">
      <c r="C525" s="1156" t="s">
        <v>125</v>
      </c>
      <c r="D525" s="1144"/>
      <c r="E525" s="1144"/>
      <c r="F525" s="1144"/>
      <c r="G525" s="1144"/>
      <c r="H525" s="1144"/>
      <c r="I525" s="1144"/>
      <c r="J525" s="1144"/>
      <c r="K525" s="1144"/>
      <c r="L525" s="1150"/>
      <c r="M525" s="1144"/>
      <c r="N525" s="1144"/>
      <c r="O525" s="1144"/>
      <c r="P525" s="1144"/>
      <c r="Q525" s="1144"/>
      <c r="R525" s="1144"/>
      <c r="AE525" s="430"/>
      <c r="AF525" s="430"/>
    </row>
    <row r="526" spans="3:32" s="56" customFormat="1" ht="11.25">
      <c r="C526" s="1156" t="s">
        <v>1895</v>
      </c>
      <c r="D526" s="1144"/>
      <c r="E526" s="1144"/>
      <c r="F526" s="1144"/>
      <c r="G526" s="1144"/>
      <c r="H526" s="1144"/>
      <c r="I526" s="1144"/>
      <c r="J526" s="1144"/>
      <c r="K526" s="1144"/>
      <c r="L526" s="1144"/>
      <c r="M526" s="1144"/>
      <c r="N526" s="1144"/>
      <c r="O526" s="1144"/>
      <c r="P526" s="1144"/>
      <c r="Q526" s="1144"/>
      <c r="R526" s="1144"/>
      <c r="AE526" s="430"/>
      <c r="AF526" s="430"/>
    </row>
    <row r="527" spans="3:32" s="56" customFormat="1" ht="11.25">
      <c r="C527" s="1150" t="s">
        <v>956</v>
      </c>
      <c r="D527" s="1144"/>
      <c r="E527" s="1144"/>
      <c r="F527" s="1144"/>
      <c r="G527" s="1144"/>
      <c r="H527" s="1144"/>
      <c r="I527" s="1144"/>
      <c r="J527" s="1144"/>
      <c r="K527" s="1144"/>
      <c r="L527" s="1150"/>
      <c r="M527" s="1144"/>
      <c r="N527" s="1144"/>
      <c r="O527" s="1144"/>
      <c r="P527" s="1144"/>
      <c r="Q527" s="1144"/>
      <c r="R527" s="1144"/>
      <c r="AE527" s="430"/>
      <c r="AF527" s="430"/>
    </row>
    <row r="528" spans="3:32" s="56" customFormat="1" ht="11.25">
      <c r="C528" s="1156" t="s">
        <v>126</v>
      </c>
      <c r="D528" s="1144"/>
      <c r="E528" s="1144"/>
      <c r="F528" s="1144"/>
      <c r="G528" s="1144"/>
      <c r="H528" s="1144"/>
      <c r="I528" s="1144"/>
      <c r="J528" s="1144"/>
      <c r="K528" s="1144"/>
      <c r="L528" s="1150"/>
      <c r="M528" s="1144"/>
      <c r="N528" s="1144"/>
      <c r="O528" s="1144"/>
      <c r="P528" s="1144"/>
      <c r="Q528" s="1144"/>
      <c r="R528" s="1144"/>
      <c r="AE528" s="430"/>
      <c r="AF528" s="430"/>
    </row>
    <row r="529" spans="3:32" s="56" customFormat="1" ht="11.25">
      <c r="C529" s="1156" t="s">
        <v>127</v>
      </c>
      <c r="D529" s="1144"/>
      <c r="E529" s="1144"/>
      <c r="F529" s="1144"/>
      <c r="G529" s="1144"/>
      <c r="H529" s="1144"/>
      <c r="I529" s="1144"/>
      <c r="J529" s="1144"/>
      <c r="K529" s="1144"/>
      <c r="L529" s="1150"/>
      <c r="M529" s="1144"/>
      <c r="N529" s="1144"/>
      <c r="O529" s="1144"/>
      <c r="P529" s="1144"/>
      <c r="Q529" s="1144"/>
      <c r="R529" s="1144"/>
      <c r="AE529" s="430"/>
      <c r="AF529" s="430"/>
    </row>
    <row r="530" spans="3:32" s="56" customFormat="1" ht="11.25">
      <c r="C530" s="1156" t="s">
        <v>128</v>
      </c>
      <c r="D530" s="1144"/>
      <c r="E530" s="1144"/>
      <c r="F530" s="1144"/>
      <c r="G530" s="1144"/>
      <c r="H530" s="1144"/>
      <c r="I530" s="1144"/>
      <c r="J530" s="1144"/>
      <c r="K530" s="1144"/>
      <c r="L530" s="1150"/>
      <c r="M530" s="1144"/>
      <c r="N530" s="1144"/>
      <c r="O530" s="1144"/>
      <c r="P530" s="1144"/>
      <c r="Q530" s="1144"/>
      <c r="R530" s="1144"/>
      <c r="AE530" s="430"/>
      <c r="AF530" s="430"/>
    </row>
    <row r="531" spans="3:32" s="56" customFormat="1" ht="11.25">
      <c r="C531" s="1156" t="s">
        <v>2691</v>
      </c>
      <c r="D531" s="1144"/>
      <c r="E531" s="1144"/>
      <c r="F531" s="1144"/>
      <c r="G531" s="1144"/>
      <c r="H531" s="1144"/>
      <c r="I531" s="1144"/>
      <c r="J531" s="1144"/>
      <c r="K531" s="1144"/>
      <c r="L531" s="1144"/>
      <c r="M531" s="1144"/>
      <c r="N531" s="1144"/>
      <c r="O531" s="1144"/>
      <c r="P531" s="1144"/>
      <c r="Q531" s="1144"/>
      <c r="R531" s="1144"/>
      <c r="AE531" s="430"/>
      <c r="AF531" s="430"/>
    </row>
    <row r="532" spans="3:32" s="56" customFormat="1" ht="11.25">
      <c r="C532" s="1150" t="s">
        <v>2026</v>
      </c>
      <c r="D532" s="1144"/>
      <c r="E532" s="1144"/>
      <c r="F532" s="1144"/>
      <c r="G532" s="1144"/>
      <c r="H532" s="1144"/>
      <c r="I532" s="1144"/>
      <c r="J532" s="1144"/>
      <c r="K532" s="1144"/>
      <c r="L532" s="1150"/>
      <c r="M532" s="1144"/>
      <c r="N532" s="1144"/>
      <c r="O532" s="1144"/>
      <c r="P532" s="1144"/>
      <c r="Q532" s="1144"/>
      <c r="R532" s="1144"/>
      <c r="AE532" s="430"/>
      <c r="AF532" s="430"/>
    </row>
    <row r="533" spans="3:32" s="56" customFormat="1" ht="11.25">
      <c r="C533" s="1156" t="s">
        <v>2692</v>
      </c>
      <c r="D533" s="1144"/>
      <c r="E533" s="1144"/>
      <c r="F533" s="1144"/>
      <c r="G533" s="1144"/>
      <c r="H533" s="1144"/>
      <c r="I533" s="1144"/>
      <c r="J533" s="1144"/>
      <c r="K533" s="1144"/>
      <c r="L533" s="1150"/>
      <c r="M533" s="1144"/>
      <c r="N533" s="1144"/>
      <c r="O533" s="1144"/>
      <c r="P533" s="1144"/>
      <c r="Q533" s="1144"/>
      <c r="R533" s="1144"/>
      <c r="AE533" s="430"/>
      <c r="AF533" s="430"/>
    </row>
    <row r="534" spans="3:32" s="56" customFormat="1" ht="11.25">
      <c r="C534" s="1156" t="s">
        <v>1394</v>
      </c>
      <c r="D534" s="1144"/>
      <c r="E534" s="1144"/>
      <c r="F534" s="1144"/>
      <c r="G534" s="1144"/>
      <c r="H534" s="1144"/>
      <c r="I534" s="1144"/>
      <c r="J534" s="1144"/>
      <c r="K534" s="1144"/>
      <c r="L534" s="1150"/>
      <c r="M534" s="1144"/>
      <c r="N534" s="1144"/>
      <c r="O534" s="1144"/>
      <c r="P534" s="1144"/>
      <c r="Q534" s="1144"/>
      <c r="R534" s="1144"/>
      <c r="AE534" s="430"/>
      <c r="AF534" s="430"/>
    </row>
    <row r="535" spans="3:32" s="56" customFormat="1" ht="11.25">
      <c r="C535" s="1156" t="s">
        <v>1600</v>
      </c>
      <c r="D535" s="1144"/>
      <c r="E535" s="1144"/>
      <c r="F535" s="1144"/>
      <c r="G535" s="1144"/>
      <c r="H535" s="1144"/>
      <c r="I535" s="1144"/>
      <c r="J535" s="1144"/>
      <c r="K535" s="1151" t="s">
        <v>465</v>
      </c>
      <c r="L535" s="1150"/>
      <c r="M535" s="1144"/>
      <c r="N535" s="1144"/>
      <c r="O535" s="1144"/>
      <c r="P535" s="1144"/>
      <c r="Q535" s="1144"/>
      <c r="R535" s="1144"/>
      <c r="AE535" s="430"/>
      <c r="AF535" s="430"/>
    </row>
    <row r="536" spans="3:32" s="56" customFormat="1" ht="11.25">
      <c r="C536" s="1156" t="s">
        <v>2693</v>
      </c>
      <c r="D536" s="1144"/>
      <c r="E536" s="1144"/>
      <c r="F536" s="1144"/>
      <c r="G536" s="1144"/>
      <c r="H536" s="1144"/>
      <c r="I536" s="1144"/>
      <c r="J536" s="1144"/>
      <c r="K536" s="1144" t="s">
        <v>1093</v>
      </c>
      <c r="L536" s="1150"/>
      <c r="M536" s="1144"/>
      <c r="N536" s="1144"/>
      <c r="O536" s="1144"/>
      <c r="P536" s="1144"/>
      <c r="Q536" s="1144"/>
      <c r="R536" s="1144"/>
      <c r="AE536" s="430"/>
      <c r="AF536" s="430"/>
    </row>
    <row r="537" spans="3:32" s="56" customFormat="1" ht="11.25">
      <c r="C537" s="1156" t="s">
        <v>2694</v>
      </c>
      <c r="D537" s="1144"/>
      <c r="E537" s="1144"/>
      <c r="F537" s="1144"/>
      <c r="G537" s="1144"/>
      <c r="H537" s="1144"/>
      <c r="I537" s="1144"/>
      <c r="J537" s="1144"/>
      <c r="K537" s="1144" t="s">
        <v>3791</v>
      </c>
      <c r="L537" s="1144"/>
      <c r="M537" s="1144"/>
      <c r="N537" s="1144"/>
      <c r="O537" s="1144"/>
      <c r="P537" s="1144"/>
      <c r="Q537" s="1144"/>
      <c r="R537" s="1144"/>
      <c r="AE537" s="430"/>
      <c r="AF537" s="430"/>
    </row>
    <row r="538" spans="3:32" s="56" customFormat="1" ht="11.25">
      <c r="C538" s="1150" t="s">
        <v>1216</v>
      </c>
      <c r="D538" s="1144"/>
      <c r="E538" s="1144"/>
      <c r="F538" s="1144"/>
      <c r="G538" s="1144"/>
      <c r="H538" s="1144"/>
      <c r="I538" s="1144"/>
      <c r="J538" s="1144"/>
      <c r="K538" s="1144" t="s">
        <v>2667</v>
      </c>
      <c r="L538" s="1144"/>
      <c r="M538" s="1144"/>
      <c r="N538" s="1144"/>
      <c r="O538" s="1144"/>
      <c r="P538" s="1144"/>
      <c r="Q538" s="1144"/>
      <c r="R538" s="1144"/>
      <c r="AE538" s="430"/>
      <c r="AF538" s="430"/>
    </row>
    <row r="539" spans="3:32" s="56" customFormat="1" ht="11.25">
      <c r="C539" s="1144"/>
      <c r="D539" s="1144"/>
      <c r="E539" s="1144"/>
      <c r="F539" s="1144"/>
      <c r="G539" s="1144"/>
      <c r="H539" s="1144"/>
      <c r="I539" s="1144"/>
      <c r="J539" s="1144"/>
      <c r="K539" s="1144"/>
      <c r="L539" s="1144"/>
      <c r="M539" s="1144"/>
      <c r="N539" s="1144"/>
      <c r="O539" s="1144"/>
      <c r="P539" s="1144"/>
      <c r="Q539" s="1144"/>
      <c r="R539" s="1144"/>
      <c r="AE539" s="430"/>
      <c r="AF539" s="430"/>
    </row>
    <row r="540" spans="3:32" s="56" customFormat="1" ht="11.25">
      <c r="C540" s="1152" t="s">
        <v>257</v>
      </c>
      <c r="D540" s="1144"/>
      <c r="E540" s="1144"/>
      <c r="F540" s="1144"/>
      <c r="G540" s="1144"/>
      <c r="H540" s="1144"/>
      <c r="I540" s="1144"/>
      <c r="J540" s="1144"/>
      <c r="K540" s="1151" t="s">
        <v>2257</v>
      </c>
      <c r="L540" s="1144"/>
      <c r="M540" s="1144"/>
      <c r="N540" s="1144"/>
      <c r="O540" s="1144"/>
      <c r="P540" s="1144"/>
      <c r="Q540" s="1144"/>
      <c r="R540" s="1144"/>
      <c r="AE540" s="430"/>
      <c r="AF540" s="430"/>
    </row>
    <row r="541" spans="3:32" s="56" customFormat="1" ht="11.25">
      <c r="C541" s="1144" t="s">
        <v>1094</v>
      </c>
      <c r="D541" s="1144"/>
      <c r="E541" s="1144"/>
      <c r="F541" s="1144"/>
      <c r="G541" s="1144"/>
      <c r="H541" s="1144"/>
      <c r="I541" s="1144"/>
      <c r="J541" s="1144"/>
      <c r="K541" s="1144" t="s">
        <v>2343</v>
      </c>
      <c r="L541" s="1144"/>
      <c r="M541" s="1144"/>
      <c r="N541" s="1144"/>
      <c r="O541" s="1144"/>
      <c r="P541" s="1144"/>
      <c r="Q541" s="1144"/>
      <c r="R541" s="1144"/>
      <c r="AE541" s="430"/>
      <c r="AF541" s="430"/>
    </row>
    <row r="542" spans="3:32" s="56" customFormat="1" ht="11.25">
      <c r="C542" s="1144" t="s">
        <v>171</v>
      </c>
      <c r="D542" s="1144"/>
      <c r="E542" s="1144"/>
      <c r="F542" s="1144"/>
      <c r="G542" s="1144"/>
      <c r="H542" s="1144"/>
      <c r="I542" s="1144"/>
      <c r="J542" s="1144"/>
      <c r="K542" s="1144" t="s">
        <v>3944</v>
      </c>
      <c r="L542" s="1144"/>
      <c r="M542" s="1144"/>
      <c r="N542" s="1144"/>
      <c r="O542" s="1144"/>
      <c r="P542" s="1144"/>
      <c r="Q542" s="1144"/>
      <c r="R542" s="1144"/>
      <c r="AE542" s="430"/>
      <c r="AF542" s="430"/>
    </row>
    <row r="543" spans="3:32" s="56" customFormat="1" ht="11.25">
      <c r="C543" s="1144" t="s">
        <v>1538</v>
      </c>
      <c r="D543" s="1144"/>
      <c r="E543" s="1144"/>
      <c r="F543" s="1144"/>
      <c r="G543" s="1144"/>
      <c r="H543" s="1144"/>
      <c r="I543" s="1144"/>
      <c r="J543" s="1144"/>
      <c r="K543" s="1144" t="s">
        <v>3943</v>
      </c>
      <c r="L543" s="1144"/>
      <c r="M543" s="1144"/>
      <c r="N543" s="1144"/>
      <c r="O543" s="1144"/>
      <c r="P543" s="1144"/>
      <c r="Q543" s="1144"/>
      <c r="R543" s="1144"/>
      <c r="AE543" s="430"/>
      <c r="AF543" s="430"/>
    </row>
    <row r="544" spans="3:32" s="56" customFormat="1" ht="11.25">
      <c r="C544" s="1144" t="s">
        <v>2134</v>
      </c>
      <c r="D544" s="1144"/>
      <c r="E544" s="1144"/>
      <c r="F544" s="1144"/>
      <c r="G544" s="1144"/>
      <c r="H544" s="1144"/>
      <c r="I544" s="1144"/>
      <c r="J544" s="1144"/>
      <c r="K544" s="1144" t="s">
        <v>3945</v>
      </c>
      <c r="L544" s="1144"/>
      <c r="M544" s="1144"/>
      <c r="N544" s="1144"/>
      <c r="O544" s="1144"/>
      <c r="P544" s="1144"/>
      <c r="Q544" s="1144"/>
      <c r="R544" s="1144"/>
      <c r="AE544" s="430"/>
      <c r="AF544" s="430"/>
    </row>
    <row r="545" spans="3:32" s="56" customFormat="1" ht="11.25">
      <c r="C545" s="1144" t="s">
        <v>170</v>
      </c>
      <c r="D545" s="1144"/>
      <c r="E545" s="1144"/>
      <c r="F545" s="1144"/>
      <c r="G545" s="1144"/>
      <c r="H545" s="1144"/>
      <c r="I545" s="1144"/>
      <c r="J545" s="1144"/>
      <c r="K545" s="1144" t="s">
        <v>2746</v>
      </c>
      <c r="L545" s="1144"/>
      <c r="M545" s="1144"/>
      <c r="N545" s="1144"/>
      <c r="O545" s="1144"/>
      <c r="P545" s="1144"/>
      <c r="Q545" s="1144"/>
      <c r="R545" s="1144"/>
      <c r="AE545" s="430"/>
      <c r="AF545" s="430"/>
    </row>
    <row r="546" spans="3:32" s="56" customFormat="1" ht="11.25">
      <c r="C546" s="1144"/>
      <c r="D546" s="1144"/>
      <c r="E546" s="1144"/>
      <c r="F546" s="1144"/>
      <c r="G546" s="1144"/>
      <c r="H546" s="1144"/>
      <c r="I546" s="1144"/>
      <c r="J546" s="1144"/>
      <c r="K546" s="1151" t="s">
        <v>1963</v>
      </c>
      <c r="L546" s="1144"/>
      <c r="M546" s="1144"/>
      <c r="N546" s="1144"/>
      <c r="O546" s="1144"/>
      <c r="P546" s="1144"/>
      <c r="Q546" s="1144"/>
      <c r="R546" s="1144"/>
      <c r="AE546" s="430"/>
      <c r="AF546" s="430"/>
    </row>
    <row r="547" spans="3:32" s="56" customFormat="1" ht="11.25">
      <c r="C547" s="1144"/>
      <c r="D547" s="1144"/>
      <c r="E547" s="1144"/>
      <c r="F547" s="1144"/>
      <c r="G547" s="1144"/>
      <c r="H547" s="1144"/>
      <c r="I547" s="1144"/>
      <c r="J547" s="1144"/>
      <c r="K547" s="1144" t="s">
        <v>1092</v>
      </c>
      <c r="L547" s="1144"/>
      <c r="M547" s="1144"/>
      <c r="N547" s="1144"/>
      <c r="O547" s="1144"/>
      <c r="P547" s="1144"/>
      <c r="Q547" s="1144"/>
      <c r="R547" s="1144"/>
      <c r="AE547" s="430"/>
      <c r="AF547" s="430"/>
    </row>
    <row r="548" spans="3:32" s="56" customFormat="1" ht="11.25">
      <c r="C548" s="1144"/>
      <c r="D548" s="1144"/>
      <c r="E548" s="1144"/>
      <c r="F548" s="1144"/>
      <c r="G548" s="1144"/>
      <c r="H548" s="1144"/>
      <c r="I548" s="1144"/>
      <c r="J548" s="1144"/>
      <c r="K548" s="1144" t="s">
        <v>1764</v>
      </c>
      <c r="L548" s="1144"/>
      <c r="M548" s="1144"/>
      <c r="N548" s="1144"/>
      <c r="O548" s="1144"/>
      <c r="P548" s="1144"/>
      <c r="Q548" s="1144"/>
      <c r="R548" s="1144"/>
      <c r="AE548" s="430"/>
      <c r="AF548" s="430"/>
    </row>
    <row r="549" spans="3:32" s="56" customFormat="1" ht="11.25">
      <c r="C549" s="1144"/>
      <c r="D549" s="1144"/>
      <c r="E549" s="1144"/>
      <c r="F549" s="1144"/>
      <c r="G549" s="1144"/>
      <c r="H549" s="1144"/>
      <c r="I549" s="1144"/>
      <c r="J549" s="1144"/>
      <c r="K549" s="1144" t="s">
        <v>1143</v>
      </c>
      <c r="L549" s="1144"/>
      <c r="M549" s="1144"/>
      <c r="N549" s="1144"/>
      <c r="O549" s="1144"/>
      <c r="P549" s="1144"/>
      <c r="Q549" s="1144"/>
      <c r="R549" s="1144"/>
      <c r="AE549" s="430"/>
      <c r="AF549" s="430"/>
    </row>
    <row r="550" spans="3:32" s="56" customFormat="1" ht="11.25">
      <c r="C550" s="1144"/>
      <c r="D550" s="1144"/>
      <c r="E550" s="1144"/>
      <c r="F550" s="1144"/>
      <c r="G550" s="1144"/>
      <c r="H550" s="1144"/>
      <c r="I550" s="1144"/>
      <c r="J550" s="1144"/>
      <c r="K550" s="1144" t="s">
        <v>1765</v>
      </c>
      <c r="L550" s="1144"/>
      <c r="M550" s="1144"/>
      <c r="N550" s="1144"/>
      <c r="O550" s="1144"/>
      <c r="P550" s="1144"/>
      <c r="Q550" s="1144"/>
      <c r="R550" s="1144"/>
      <c r="AE550" s="430"/>
      <c r="AF550" s="430"/>
    </row>
    <row r="551" spans="3:32" s="56" customFormat="1" ht="11.25">
      <c r="C551" s="1144"/>
      <c r="D551" s="1144"/>
      <c r="E551" s="1144"/>
      <c r="F551" s="1144"/>
      <c r="G551" s="1144"/>
      <c r="H551" s="1144"/>
      <c r="I551" s="1144"/>
      <c r="J551" s="1144"/>
      <c r="K551" s="1144" t="s">
        <v>2384</v>
      </c>
      <c r="L551" s="1144"/>
      <c r="M551" s="1144"/>
      <c r="N551" s="1144"/>
      <c r="O551" s="1144"/>
      <c r="P551" s="1144"/>
      <c r="Q551" s="1144"/>
      <c r="R551" s="1144"/>
      <c r="AE551" s="430"/>
      <c r="AF551" s="430"/>
    </row>
    <row r="552" spans="3:32" s="56" customFormat="1" ht="11.25">
      <c r="C552" s="1144"/>
      <c r="D552" s="1144"/>
      <c r="E552" s="1144"/>
      <c r="F552" s="1144"/>
      <c r="G552" s="1144"/>
      <c r="H552" s="1144"/>
      <c r="I552" s="1144"/>
      <c r="J552" s="1144"/>
      <c r="K552" s="1144"/>
      <c r="L552" s="1144"/>
      <c r="M552" s="1144"/>
      <c r="N552" s="1144"/>
      <c r="O552" s="1144"/>
      <c r="P552" s="1144"/>
      <c r="Q552" s="1144"/>
      <c r="R552" s="1144"/>
      <c r="AE552" s="430"/>
      <c r="AF552" s="430"/>
    </row>
    <row r="553" spans="3:32" s="56" customFormat="1" ht="11.25">
      <c r="C553" s="1152" t="s">
        <v>1024</v>
      </c>
      <c r="D553" s="1144"/>
      <c r="E553" s="1144"/>
      <c r="F553" s="1144"/>
      <c r="G553" s="1144"/>
      <c r="H553" s="1144"/>
      <c r="I553" s="1144"/>
      <c r="J553" s="1144"/>
      <c r="K553" s="1152" t="s">
        <v>1025</v>
      </c>
      <c r="L553" s="1144"/>
      <c r="M553" s="1144"/>
      <c r="N553" s="1144"/>
      <c r="O553" s="1144"/>
      <c r="P553" s="1144"/>
      <c r="Q553" s="1144"/>
      <c r="R553" s="1144"/>
      <c r="AE553" s="430"/>
      <c r="AF553" s="430"/>
    </row>
    <row r="554" spans="3:32" s="56" customFormat="1" ht="11.25">
      <c r="C554" s="1144" t="s">
        <v>1023</v>
      </c>
      <c r="D554" s="1144"/>
      <c r="E554" s="1144"/>
      <c r="F554" s="1144"/>
      <c r="G554" s="1144"/>
      <c r="H554" s="1144"/>
      <c r="I554" s="1144"/>
      <c r="J554" s="1144"/>
      <c r="K554" s="1144" t="s">
        <v>1023</v>
      </c>
      <c r="L554" s="1144"/>
      <c r="M554" s="1144"/>
      <c r="N554" s="1144"/>
      <c r="O554" s="1144"/>
      <c r="P554" s="1144"/>
      <c r="Q554" s="1144"/>
      <c r="R554" s="1144"/>
      <c r="AE554" s="430"/>
      <c r="AF554" s="430"/>
    </row>
    <row r="555" spans="3:32" s="56" customFormat="1" ht="11.25">
      <c r="C555" s="1144" t="s">
        <v>2105</v>
      </c>
      <c r="D555" s="1144"/>
      <c r="E555" s="1144"/>
      <c r="F555" s="1144"/>
      <c r="G555" s="1144"/>
      <c r="H555" s="1144"/>
      <c r="I555" s="1144"/>
      <c r="J555" s="1144"/>
      <c r="K555" s="1144" t="s">
        <v>232</v>
      </c>
      <c r="L555" s="1144"/>
      <c r="M555" s="1144"/>
      <c r="N555" s="1144"/>
      <c r="O555" s="1144"/>
      <c r="P555" s="1144"/>
      <c r="Q555" s="1144"/>
      <c r="R555" s="1144"/>
      <c r="AE555" s="430"/>
      <c r="AF555" s="430"/>
    </row>
    <row r="556" spans="3:32" s="56" customFormat="1" ht="11.25">
      <c r="C556" s="1144" t="s">
        <v>2561</v>
      </c>
      <c r="D556" s="1144"/>
      <c r="E556" s="1144"/>
      <c r="F556" s="1144"/>
      <c r="G556" s="1144"/>
      <c r="H556" s="1144"/>
      <c r="I556" s="1144"/>
      <c r="J556" s="1144"/>
      <c r="K556" s="1144" t="s">
        <v>488</v>
      </c>
      <c r="L556" s="1144"/>
      <c r="M556" s="1144"/>
      <c r="N556" s="1144"/>
      <c r="O556" s="1144"/>
      <c r="P556" s="1144"/>
      <c r="Q556" s="1144"/>
      <c r="R556" s="1144"/>
      <c r="AE556" s="430"/>
      <c r="AF556" s="430"/>
    </row>
    <row r="557" spans="3:32" s="56" customFormat="1" ht="11.25">
      <c r="C557" s="1144" t="s">
        <v>2106</v>
      </c>
      <c r="D557" s="1144"/>
      <c r="E557" s="1144"/>
      <c r="F557" s="1144"/>
      <c r="G557" s="1144"/>
      <c r="H557" s="1144"/>
      <c r="I557" s="1144"/>
      <c r="J557" s="1144"/>
      <c r="K557" s="1144" t="s">
        <v>2521</v>
      </c>
      <c r="L557" s="1144"/>
      <c r="M557" s="1144"/>
      <c r="N557" s="1144"/>
      <c r="O557" s="1144"/>
      <c r="P557" s="1144"/>
      <c r="Q557" s="1144"/>
      <c r="R557" s="1144"/>
      <c r="AE557" s="430"/>
      <c r="AF557" s="430"/>
    </row>
    <row r="558" spans="3:32" s="56" customFormat="1" ht="11.25">
      <c r="C558" s="1144" t="s">
        <v>1964</v>
      </c>
      <c r="D558" s="1144"/>
      <c r="E558" s="1144"/>
      <c r="F558" s="1144"/>
      <c r="G558" s="1144"/>
      <c r="H558" s="1144"/>
      <c r="I558" s="1144"/>
      <c r="J558" s="1144"/>
      <c r="K558" s="1144" t="s">
        <v>1973</v>
      </c>
      <c r="L558" s="1144"/>
      <c r="M558" s="1144"/>
      <c r="N558" s="1144"/>
      <c r="O558" s="1144"/>
      <c r="P558" s="1144"/>
      <c r="Q558" s="1144"/>
      <c r="R558" s="1144"/>
      <c r="AE558" s="430"/>
      <c r="AF558" s="430"/>
    </row>
    <row r="559" spans="3:32" s="56" customFormat="1" ht="11.25">
      <c r="C559" s="1144" t="s">
        <v>596</v>
      </c>
      <c r="D559" s="1144"/>
      <c r="E559" s="1144"/>
      <c r="F559" s="1144"/>
      <c r="G559" s="1144"/>
      <c r="H559" s="1144"/>
      <c r="I559" s="1144"/>
      <c r="J559" s="1144"/>
      <c r="K559" s="1144" t="s">
        <v>2523</v>
      </c>
      <c r="L559" s="1144"/>
      <c r="M559" s="1144"/>
      <c r="N559" s="1144"/>
      <c r="O559" s="1144"/>
      <c r="P559" s="1144"/>
      <c r="Q559" s="1144"/>
      <c r="R559" s="1144"/>
      <c r="AE559" s="430"/>
      <c r="AF559" s="430"/>
    </row>
    <row r="560" spans="3:32" s="56" customFormat="1" ht="11.25">
      <c r="C560" s="1144" t="s">
        <v>2211</v>
      </c>
      <c r="D560" s="1144"/>
      <c r="E560" s="1144"/>
      <c r="F560" s="1144"/>
      <c r="G560" s="1144"/>
      <c r="H560" s="1144"/>
      <c r="I560" s="1144"/>
      <c r="J560" s="1144"/>
      <c r="K560" s="1144" t="s">
        <v>33</v>
      </c>
      <c r="L560" s="1144"/>
      <c r="M560" s="1144"/>
      <c r="N560" s="1144"/>
      <c r="O560" s="1144"/>
      <c r="P560" s="1144"/>
      <c r="Q560" s="1144"/>
      <c r="R560" s="1144"/>
      <c r="AE560" s="430"/>
      <c r="AF560" s="430"/>
    </row>
    <row r="561" spans="1:32" s="56" customFormat="1" ht="11.25">
      <c r="C561" s="1154" t="s">
        <v>34</v>
      </c>
      <c r="D561" s="1144"/>
      <c r="E561" s="1144"/>
      <c r="F561" s="1144"/>
      <c r="G561" s="1144"/>
      <c r="H561" s="1144"/>
      <c r="I561" s="1144"/>
      <c r="J561" s="1144"/>
      <c r="K561" s="1144" t="s">
        <v>1834</v>
      </c>
      <c r="L561" s="1144"/>
      <c r="M561" s="1144"/>
      <c r="N561" s="1144"/>
      <c r="O561" s="1144"/>
      <c r="P561" s="1144"/>
      <c r="Q561" s="1144"/>
      <c r="R561" s="1144"/>
      <c r="AE561" s="430"/>
      <c r="AF561" s="430"/>
    </row>
    <row r="562" spans="1:32" s="56" customFormat="1" ht="11.25">
      <c r="C562" s="1144"/>
      <c r="D562" s="1144"/>
      <c r="E562" s="1144"/>
      <c r="F562" s="1144"/>
      <c r="G562" s="1144"/>
      <c r="H562" s="1144"/>
      <c r="I562" s="1144"/>
      <c r="J562" s="1144"/>
      <c r="K562" s="1144" t="s">
        <v>2524</v>
      </c>
      <c r="L562" s="1144"/>
      <c r="M562" s="1144"/>
      <c r="N562" s="1144"/>
      <c r="O562" s="1144"/>
      <c r="P562" s="1144"/>
      <c r="Q562" s="1144"/>
      <c r="R562" s="1144"/>
      <c r="AE562" s="430"/>
      <c r="AF562" s="430"/>
    </row>
    <row r="563" spans="1:32" s="56" customFormat="1" ht="11.25">
      <c r="C563" s="1144"/>
      <c r="D563" s="1144"/>
      <c r="E563" s="1144"/>
      <c r="F563" s="1144"/>
      <c r="G563" s="1144"/>
      <c r="H563" s="1144"/>
      <c r="I563" s="1144"/>
      <c r="J563" s="1144"/>
      <c r="K563" s="1144" t="s">
        <v>1173</v>
      </c>
      <c r="L563" s="1144"/>
      <c r="M563" s="1144"/>
      <c r="N563" s="1144"/>
      <c r="O563" s="1144"/>
      <c r="P563" s="1144"/>
      <c r="Q563" s="1144"/>
      <c r="R563" s="1144"/>
      <c r="AE563" s="430"/>
      <c r="AF563" s="430"/>
    </row>
    <row r="564" spans="1:32" s="56" customFormat="1" ht="11.25">
      <c r="C564" s="1144"/>
      <c r="D564" s="1144"/>
      <c r="E564" s="1144"/>
      <c r="F564" s="1144"/>
      <c r="G564" s="1144"/>
      <c r="H564" s="1144"/>
      <c r="I564" s="1144"/>
      <c r="J564" s="1144"/>
      <c r="K564" s="1144" t="s">
        <v>1889</v>
      </c>
      <c r="L564" s="1144"/>
      <c r="M564" s="1144"/>
      <c r="N564" s="1144"/>
      <c r="O564" s="1144"/>
      <c r="P564" s="1144"/>
      <c r="Q564" s="1144"/>
      <c r="R564" s="1144"/>
      <c r="AE564" s="430"/>
      <c r="AF564" s="430"/>
    </row>
    <row r="565" spans="1:32" s="56" customFormat="1" ht="11.25">
      <c r="C565" s="1144"/>
      <c r="D565" s="1144"/>
      <c r="E565" s="1144"/>
      <c r="F565" s="1144"/>
      <c r="G565" s="1144"/>
      <c r="H565" s="1144"/>
      <c r="I565" s="1144"/>
      <c r="J565" s="1144"/>
      <c r="K565" s="1144" t="s">
        <v>595</v>
      </c>
      <c r="L565" s="1144"/>
      <c r="M565" s="1144"/>
      <c r="N565" s="1144"/>
      <c r="O565" s="1144"/>
      <c r="P565" s="1144"/>
      <c r="Q565" s="1144"/>
      <c r="R565" s="1144"/>
      <c r="AE565" s="430"/>
      <c r="AF565" s="430"/>
    </row>
    <row r="566" spans="1:32" s="56" customFormat="1" ht="11.25">
      <c r="C566" s="1144"/>
      <c r="D566" s="1144"/>
      <c r="E566" s="1144"/>
      <c r="F566" s="1144"/>
      <c r="G566" s="1144"/>
      <c r="H566" s="1144"/>
      <c r="I566" s="1144"/>
      <c r="J566" s="1144"/>
      <c r="K566" s="1144" t="s">
        <v>1890</v>
      </c>
      <c r="L566" s="1144"/>
      <c r="M566" s="1144"/>
      <c r="N566" s="1144"/>
      <c r="O566" s="1144"/>
      <c r="P566" s="1144"/>
      <c r="Q566" s="1144"/>
      <c r="R566" s="1144"/>
      <c r="AE566" s="430"/>
      <c r="AF566" s="430"/>
    </row>
    <row r="567" spans="1:32" s="56" customFormat="1" ht="11.25">
      <c r="C567" s="1144"/>
      <c r="D567" s="1144"/>
      <c r="E567" s="1144"/>
      <c r="F567" s="1144"/>
      <c r="G567" s="1144"/>
      <c r="H567" s="1144"/>
      <c r="I567" s="1144"/>
      <c r="J567" s="1144"/>
      <c r="K567" s="1144" t="s">
        <v>597</v>
      </c>
      <c r="L567" s="1144"/>
      <c r="M567" s="1144"/>
      <c r="N567" s="1144"/>
      <c r="O567" s="1144"/>
      <c r="P567" s="1144"/>
      <c r="Q567" s="1144"/>
      <c r="R567" s="1144"/>
      <c r="AE567" s="430"/>
      <c r="AF567" s="430"/>
    </row>
    <row r="568" spans="1:32" s="56" customFormat="1" ht="11.25">
      <c r="C568" s="1144"/>
      <c r="D568" s="1144"/>
      <c r="E568" s="1144"/>
      <c r="F568" s="1144"/>
      <c r="G568" s="1144"/>
      <c r="H568" s="1144"/>
      <c r="I568" s="1144"/>
      <c r="J568" s="1144"/>
      <c r="K568" s="1144" t="s">
        <v>231</v>
      </c>
      <c r="L568" s="1144"/>
      <c r="M568" s="1144"/>
      <c r="N568" s="1144"/>
      <c r="O568" s="1144"/>
      <c r="P568" s="1144"/>
      <c r="Q568" s="1144"/>
      <c r="R568" s="1144"/>
      <c r="AE568" s="430"/>
      <c r="AF568" s="430"/>
    </row>
    <row r="569" spans="1:32" s="56" customFormat="1" ht="11.25">
      <c r="C569" s="1144"/>
      <c r="D569" s="1144"/>
      <c r="E569" s="1144"/>
      <c r="F569" s="1144"/>
      <c r="G569" s="1144"/>
      <c r="H569" s="1144"/>
      <c r="I569" s="1144"/>
      <c r="J569" s="1144"/>
      <c r="K569" s="1144"/>
      <c r="L569" s="1144"/>
      <c r="M569" s="1144"/>
      <c r="N569" s="1144"/>
      <c r="O569" s="1144"/>
      <c r="P569" s="1144"/>
      <c r="Q569" s="1144"/>
      <c r="R569" s="1144"/>
      <c r="AE569" s="430"/>
      <c r="AF569" s="430"/>
    </row>
    <row r="570" spans="1:32" s="56" customFormat="1" ht="11.25">
      <c r="C570" s="1144"/>
      <c r="D570" s="1153" t="s">
        <v>2053</v>
      </c>
      <c r="E570" s="1144"/>
      <c r="F570" s="1144"/>
      <c r="G570" s="1144"/>
      <c r="H570" s="1144"/>
      <c r="I570" s="1144"/>
      <c r="J570" s="1144"/>
      <c r="K570" s="1144"/>
      <c r="L570" s="1144"/>
      <c r="M570" s="1144"/>
      <c r="N570" s="1144"/>
      <c r="O570" s="1144"/>
      <c r="P570" s="1144"/>
      <c r="Q570" s="1144"/>
      <c r="R570" s="1144"/>
      <c r="AE570" s="430"/>
      <c r="AF570" s="430"/>
    </row>
    <row r="571" spans="1:32" s="56" customFormat="1" ht="11.25">
      <c r="C571" s="1144"/>
      <c r="D571" s="1144"/>
      <c r="E571" s="1144"/>
      <c r="F571" s="1144"/>
      <c r="G571" s="1144"/>
      <c r="H571" s="1144"/>
      <c r="I571" s="1144"/>
      <c r="J571" s="1144"/>
      <c r="K571" s="1144"/>
      <c r="L571" s="1144"/>
      <c r="M571" s="1144"/>
      <c r="N571" s="1144"/>
      <c r="O571" s="1144"/>
      <c r="P571" s="1144"/>
      <c r="Q571" s="1144"/>
      <c r="R571" s="1144"/>
      <c r="AE571" s="430"/>
      <c r="AF571" s="430"/>
    </row>
    <row r="572" spans="1:32" s="152" customFormat="1">
      <c r="C572" s="464"/>
      <c r="D572" s="464"/>
      <c r="E572" s="464"/>
      <c r="F572" s="464"/>
      <c r="G572" s="464"/>
      <c r="H572" s="464"/>
      <c r="I572" s="464"/>
      <c r="J572" s="464"/>
      <c r="K572" s="464"/>
      <c r="L572" s="464"/>
      <c r="M572" s="464"/>
      <c r="N572" s="464"/>
      <c r="O572" s="1144"/>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M47ve3wSTQtJ4jAc1aRVcB/BlLrJ/N4J/y12pS016bcNVhWow2NBxNBWe18jd8UBdI3rcJWqxxPscDN0F3Pchg==" saltValue="cZxZ5rCKHtM2M6izRQbwUw==" spinCount="100000" sheet="1" formatRows="0"/>
  <mergeCells count="269">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 ref="B309:N309"/>
    <mergeCell ref="C314:N314"/>
    <mergeCell ref="C313:N313"/>
    <mergeCell ref="C312:N312"/>
    <mergeCell ref="C311:N311"/>
    <mergeCell ref="B323:N323"/>
    <mergeCell ref="C326:F326"/>
    <mergeCell ref="B328:N328"/>
    <mergeCell ref="C330:N330"/>
    <mergeCell ref="C329:N329"/>
    <mergeCell ref="L310:N310"/>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A445:Q445"/>
    <mergeCell ref="A447:Q447"/>
    <mergeCell ref="P449:Q449"/>
    <mergeCell ref="A451:Q451"/>
    <mergeCell ref="A453:Q453"/>
    <mergeCell ref="N426:Q426"/>
    <mergeCell ref="A428:Q428"/>
    <mergeCell ref="A430:Q430"/>
    <mergeCell ref="P432:Q432"/>
    <mergeCell ref="B443:N443"/>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A333:Q333"/>
    <mergeCell ref="A335:Q335"/>
    <mergeCell ref="P336:Q336"/>
    <mergeCell ref="O341:Q341"/>
    <mergeCell ref="O342:Q342"/>
    <mergeCell ref="A344:Q344"/>
    <mergeCell ref="G325:N325"/>
    <mergeCell ref="G326:N326"/>
    <mergeCell ref="A316:Q316"/>
    <mergeCell ref="A318:Q318"/>
    <mergeCell ref="P319:Q319"/>
    <mergeCell ref="A282:Q282"/>
    <mergeCell ref="A284:Q284"/>
    <mergeCell ref="P285:Q285"/>
    <mergeCell ref="P261:Q261"/>
    <mergeCell ref="A269:Q269"/>
    <mergeCell ref="A271:Q271"/>
    <mergeCell ref="B267:N267"/>
    <mergeCell ref="B263:G264"/>
    <mergeCell ref="K261:O261"/>
    <mergeCell ref="B275:N275"/>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K230:L230"/>
    <mergeCell ref="K231:L231"/>
    <mergeCell ref="K232:M232"/>
    <mergeCell ref="P234:Q234"/>
    <mergeCell ref="C236:G236"/>
    <mergeCell ref="A223:Q223"/>
    <mergeCell ref="A225:Q225"/>
    <mergeCell ref="P227:Q227"/>
    <mergeCell ref="K236:O236"/>
    <mergeCell ref="M231:P231"/>
    <mergeCell ref="A210:Q210"/>
    <mergeCell ref="A212:Q212"/>
    <mergeCell ref="P214:Q214"/>
    <mergeCell ref="A203:Q203"/>
    <mergeCell ref="A205:Q205"/>
    <mergeCell ref="P207:Q207"/>
    <mergeCell ref="A186:Q186"/>
    <mergeCell ref="A188:Q188"/>
    <mergeCell ref="B190:D190"/>
    <mergeCell ref="P190:Q190"/>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P52:Q52"/>
    <mergeCell ref="P56:Q56"/>
    <mergeCell ref="P59:Q62"/>
    <mergeCell ref="P63:Q64"/>
    <mergeCell ref="P44:Q44"/>
    <mergeCell ref="A48:C50"/>
    <mergeCell ref="P45:Q46"/>
    <mergeCell ref="P48:Q48"/>
    <mergeCell ref="P49:Q50"/>
    <mergeCell ref="R8:S11"/>
    <mergeCell ref="A9:Q9"/>
    <mergeCell ref="A10:Q10"/>
    <mergeCell ref="A11:Q11"/>
    <mergeCell ref="A12:Q12"/>
    <mergeCell ref="A1:Q1"/>
    <mergeCell ref="A3:G3"/>
    <mergeCell ref="H3:N3"/>
    <mergeCell ref="O3:P3"/>
    <mergeCell ref="B4:D4"/>
    <mergeCell ref="P6:Q6"/>
    <mergeCell ref="J6:O6"/>
    <mergeCell ref="A24:Q24"/>
    <mergeCell ref="A25:Q25"/>
    <mergeCell ref="A26:Q26"/>
    <mergeCell ref="A27:Q27"/>
    <mergeCell ref="A13:Q13"/>
    <mergeCell ref="A14:Q14"/>
    <mergeCell ref="A15:Q15"/>
    <mergeCell ref="R15:S20"/>
    <mergeCell ref="A16:Q16"/>
    <mergeCell ref="A17:Q17"/>
    <mergeCell ref="A18:Q18"/>
    <mergeCell ref="A19:Q19"/>
    <mergeCell ref="A20:Q20"/>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7" fitToHeight="0" orientation="landscape" r:id="rId1"/>
  <headerFooter>
    <oddHeader>&amp;LGeorgia Department of Community Affairs&amp;C2018 Funding Application&amp;RHousing Finance and Development Division</oddHeader>
    <oddFooter>&amp;L&amp;G &amp;F&amp;C&amp;A&amp;R&amp;P of &amp;N</oddFooter>
  </headerFooter>
  <rowBreaks count="14" manualBreakCount="14">
    <brk id="35" max="16383" man="1"/>
    <brk id="71" max="16" man="1"/>
    <brk id="89" max="16383" man="1"/>
    <brk id="109" max="16" man="1"/>
    <brk id="127" max="16383" man="1"/>
    <brk id="169" max="16383" man="1"/>
    <brk id="206" max="16383" man="1"/>
    <brk id="250" max="16" man="1"/>
    <brk id="292" max="16383" man="1"/>
    <brk id="318" max="16383" man="1"/>
    <brk id="346" max="16" man="1"/>
    <brk id="370" max="16"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41"/>
  <sheetViews>
    <sheetView showGridLines="0" topLeftCell="A412" zoomScaleNormal="100" zoomScaleSheetLayoutView="100" workbookViewId="0">
      <selection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582" customWidth="1"/>
    <col min="17" max="17" width="6" style="28" customWidth="1"/>
    <col min="18" max="21" width="9.140625" style="28" customWidth="1"/>
    <col min="22" max="22" width="8.85546875" style="28" customWidth="1"/>
    <col min="23" max="16384" width="9.140625" style="28"/>
  </cols>
  <sheetData>
    <row r="1" spans="1:22" s="36" customFormat="1" ht="13.9" customHeight="1">
      <c r="A1" s="2832" t="str">
        <f>CONCATENATE("PART NINE - SCORING CRITERIA","  -  ",'Part I-Project Information'!$O$6," ",'Part I-Project Information'!$F$34,", ",'Part I-Project Information'!F38,", ",'Part I-Project Information'!J39," County")</f>
        <v>PART NINE - SCORING CRITERIA  -  2018-013 Tindall Fields III, Macon, Bibb County</v>
      </c>
      <c r="B1" s="2833"/>
      <c r="C1" s="2833"/>
      <c r="D1" s="2833"/>
      <c r="E1" s="2833"/>
      <c r="F1" s="2833"/>
      <c r="G1" s="2833"/>
      <c r="H1" s="2833"/>
      <c r="I1" s="2833"/>
      <c r="J1" s="2833"/>
      <c r="K1" s="2833"/>
      <c r="L1" s="2833"/>
      <c r="M1" s="2833"/>
      <c r="N1" s="2833"/>
      <c r="O1" s="2833"/>
      <c r="P1" s="2834"/>
    </row>
    <row r="2" spans="1:22" s="36" customFormat="1" ht="4.1500000000000004" customHeight="1">
      <c r="A2" s="37"/>
      <c r="B2" s="37"/>
      <c r="C2" s="38"/>
      <c r="D2" s="37"/>
      <c r="E2" s="37"/>
      <c r="F2" s="37"/>
      <c r="G2" s="37"/>
      <c r="H2" s="37"/>
      <c r="I2" s="37"/>
      <c r="J2" s="37"/>
      <c r="K2" s="37"/>
      <c r="L2" s="37"/>
      <c r="M2" s="39"/>
      <c r="N2" s="75"/>
      <c r="O2" s="1584"/>
      <c r="P2" s="1584"/>
    </row>
    <row r="3" spans="1:22" s="43" customFormat="1" ht="12" customHeight="1">
      <c r="A3" s="3400" t="s">
        <v>4137</v>
      </c>
      <c r="B3" s="3400"/>
      <c r="C3" s="3400"/>
      <c r="D3" s="3400"/>
      <c r="E3" s="3400"/>
      <c r="F3" s="3400"/>
      <c r="G3" s="3400"/>
      <c r="H3" s="3400"/>
      <c r="I3" s="3400"/>
      <c r="J3" s="3400"/>
      <c r="K3" s="3400"/>
      <c r="L3" s="3400"/>
      <c r="M3" s="1269" t="s">
        <v>2235</v>
      </c>
      <c r="N3" s="76"/>
      <c r="O3" s="86" t="s">
        <v>2234</v>
      </c>
      <c r="P3" s="1270" t="s">
        <v>258</v>
      </c>
    </row>
    <row r="4" spans="1:22" s="45" customFormat="1" ht="12" customHeight="1">
      <c r="A4" s="3400"/>
      <c r="B4" s="3400"/>
      <c r="C4" s="3400"/>
      <c r="D4" s="3400"/>
      <c r="E4" s="3400"/>
      <c r="F4" s="3400"/>
      <c r="G4" s="3400"/>
      <c r="H4" s="3400"/>
      <c r="I4" s="3400"/>
      <c r="J4" s="3400"/>
      <c r="K4" s="3400"/>
      <c r="L4" s="3400"/>
      <c r="M4" s="1271" t="s">
        <v>94</v>
      </c>
      <c r="N4" s="87"/>
      <c r="O4" s="180" t="s">
        <v>2235</v>
      </c>
      <c r="P4" s="180" t="s">
        <v>2235</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1238</v>
      </c>
      <c r="M6" s="276">
        <f>M441</f>
        <v>95</v>
      </c>
      <c r="N6" s="9"/>
      <c r="O6" s="1253">
        <f>O441</f>
        <v>62</v>
      </c>
      <c r="P6" s="1253">
        <f>P441</f>
        <v>20</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622</v>
      </c>
      <c r="B8" s="109" t="s">
        <v>2802</v>
      </c>
      <c r="C8" s="4"/>
      <c r="D8" s="4"/>
      <c r="E8" s="4"/>
      <c r="F8" s="1593"/>
      <c r="H8" s="50" t="s">
        <v>3500</v>
      </c>
      <c r="M8" s="1584">
        <v>10</v>
      </c>
      <c r="N8" s="110"/>
      <c r="O8" s="1194">
        <f>MIN($M8, $M8-O10-O12-O11-O13)</f>
        <v>10</v>
      </c>
      <c r="P8" s="1194">
        <f>MIN($M8, $M8-P10-P12-P11-P13)</f>
        <v>10</v>
      </c>
      <c r="Q8" s="112" t="s">
        <v>443</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1999</v>
      </c>
      <c r="B10" s="172" t="s">
        <v>1882</v>
      </c>
      <c r="D10" s="49"/>
      <c r="E10" s="49"/>
      <c r="F10" s="1593"/>
      <c r="H10" s="179" t="s">
        <v>3675</v>
      </c>
      <c r="M10" s="6"/>
      <c r="N10" s="67" t="s">
        <v>1999</v>
      </c>
      <c r="O10" s="2186"/>
      <c r="P10" s="1254">
        <f>F15</f>
        <v>0</v>
      </c>
    </row>
    <row r="11" spans="1:22" s="44" customFormat="1" ht="11.25" customHeight="1">
      <c r="A11" s="185"/>
      <c r="C11" s="113" t="s">
        <v>2129</v>
      </c>
      <c r="D11" s="49"/>
      <c r="E11" s="49"/>
      <c r="F11" s="1593"/>
      <c r="H11" s="179" t="s">
        <v>2783</v>
      </c>
      <c r="J11" s="50"/>
      <c r="M11" s="6">
        <v>1</v>
      </c>
      <c r="N11" s="67"/>
      <c r="O11" s="2187"/>
      <c r="P11" s="1298">
        <f>J15</f>
        <v>0</v>
      </c>
    </row>
    <row r="12" spans="1:22" s="43" customFormat="1" ht="11.25" customHeight="1">
      <c r="A12" s="185" t="s">
        <v>2001</v>
      </c>
      <c r="B12" s="172" t="s">
        <v>734</v>
      </c>
      <c r="D12" s="49"/>
      <c r="E12" s="49"/>
      <c r="F12" s="1593"/>
      <c r="H12" s="179" t="s">
        <v>2747</v>
      </c>
      <c r="J12" s="50"/>
      <c r="M12" s="6"/>
      <c r="N12" s="67" t="s">
        <v>2001</v>
      </c>
      <c r="O12" s="2186"/>
      <c r="P12" s="1254">
        <f>O15</f>
        <v>0</v>
      </c>
    </row>
    <row r="13" spans="1:22" s="43" customFormat="1" ht="10.9" customHeight="1">
      <c r="A13" s="69"/>
      <c r="C13" s="113" t="s">
        <v>4192</v>
      </c>
      <c r="D13" s="53"/>
      <c r="E13" s="53"/>
      <c r="F13" s="53"/>
      <c r="G13" s="69"/>
      <c r="H13" s="179" t="s">
        <v>2747</v>
      </c>
      <c r="I13" s="69"/>
      <c r="J13" s="69"/>
      <c r="K13" s="69"/>
      <c r="L13" s="69"/>
      <c r="M13" s="69"/>
      <c r="N13" s="69"/>
      <c r="O13" s="2188"/>
      <c r="P13" s="1255">
        <f>+O29</f>
        <v>0</v>
      </c>
      <c r="R13" s="463"/>
      <c r="S13" s="163"/>
    </row>
    <row r="14" spans="1:22" s="43" customFormat="1" ht="10.9" customHeight="1">
      <c r="A14" s="3410" t="s">
        <v>3872</v>
      </c>
      <c r="B14" s="3410"/>
      <c r="C14" s="3410"/>
      <c r="D14" s="3410"/>
      <c r="E14" s="3410"/>
      <c r="F14" s="1589" t="s">
        <v>4195</v>
      </c>
      <c r="J14" s="1589" t="s">
        <v>4195</v>
      </c>
      <c r="K14" s="1589"/>
      <c r="O14" s="3415" t="s">
        <v>4195</v>
      </c>
      <c r="P14" s="3415"/>
      <c r="R14" s="463"/>
      <c r="S14" s="163"/>
    </row>
    <row r="15" spans="1:22" s="43" customFormat="1" ht="11.25" customHeight="1">
      <c r="A15" s="3411"/>
      <c r="B15" s="3411"/>
      <c r="C15" s="3411"/>
      <c r="D15" s="3411"/>
      <c r="E15" s="3411"/>
      <c r="F15" s="79">
        <f>SUM(F16:F27)</f>
        <v>0</v>
      </c>
      <c r="G15" s="3412" t="s">
        <v>3609</v>
      </c>
      <c r="H15" s="3413"/>
      <c r="I15" s="3414"/>
      <c r="J15" s="79">
        <f>SUM(J16:J27)</f>
        <v>0</v>
      </c>
      <c r="K15" s="3416" t="s">
        <v>3393</v>
      </c>
      <c r="L15" s="3417"/>
      <c r="M15" s="3417"/>
      <c r="N15" s="3418"/>
      <c r="O15" s="3401">
        <f>SUM(O16:O27)</f>
        <v>0</v>
      </c>
      <c r="P15" s="3402"/>
      <c r="Q15" s="463"/>
      <c r="R15" s="163"/>
    </row>
    <row r="16" spans="1:22" s="43" customFormat="1" ht="24.75" customHeight="1">
      <c r="A16" s="3403">
        <v>1</v>
      </c>
      <c r="B16" s="3404"/>
      <c r="C16" s="3404"/>
      <c r="D16" s="3404"/>
      <c r="E16" s="3405"/>
      <c r="F16" s="935"/>
      <c r="G16" s="3403">
        <v>1</v>
      </c>
      <c r="H16" s="3404"/>
      <c r="I16" s="3405"/>
      <c r="J16" s="939" t="s">
        <v>1746</v>
      </c>
      <c r="K16" s="3406">
        <v>1</v>
      </c>
      <c r="L16" s="3407"/>
      <c r="M16" s="3407"/>
      <c r="N16" s="3407"/>
      <c r="O16" s="3408" t="s">
        <v>1746</v>
      </c>
      <c r="P16" s="3409"/>
      <c r="Q16" s="461" t="s">
        <v>1266</v>
      </c>
      <c r="R16" s="163"/>
    </row>
    <row r="17" spans="1:19" s="43" customFormat="1" ht="24.75" customHeight="1">
      <c r="A17" s="3391">
        <v>2</v>
      </c>
      <c r="B17" s="3392"/>
      <c r="C17" s="3392"/>
      <c r="D17" s="3392"/>
      <c r="E17" s="3393"/>
      <c r="F17" s="936"/>
      <c r="G17" s="3391">
        <v>2</v>
      </c>
      <c r="H17" s="3392"/>
      <c r="I17" s="3393"/>
      <c r="J17" s="936"/>
      <c r="K17" s="3394">
        <v>2</v>
      </c>
      <c r="L17" s="3395"/>
      <c r="M17" s="3395"/>
      <c r="N17" s="3395"/>
      <c r="O17" s="3396"/>
      <c r="P17" s="3397"/>
      <c r="Q17" s="462"/>
      <c r="R17" s="163"/>
    </row>
    <row r="18" spans="1:19" s="43" customFormat="1" ht="24.75" customHeight="1">
      <c r="A18" s="3391">
        <v>3</v>
      </c>
      <c r="B18" s="3392"/>
      <c r="C18" s="3392"/>
      <c r="D18" s="3392"/>
      <c r="E18" s="3393"/>
      <c r="F18" s="936"/>
      <c r="G18" s="3391">
        <v>3</v>
      </c>
      <c r="H18" s="3392"/>
      <c r="I18" s="3393"/>
      <c r="J18" s="1313" t="s">
        <v>2924</v>
      </c>
      <c r="K18" s="3394">
        <v>3</v>
      </c>
      <c r="L18" s="3395"/>
      <c r="M18" s="3395"/>
      <c r="N18" s="3395"/>
      <c r="O18" s="3398" t="s">
        <v>2924</v>
      </c>
      <c r="P18" s="3399"/>
      <c r="Q18" s="462"/>
      <c r="R18" s="163"/>
    </row>
    <row r="19" spans="1:19" s="43" customFormat="1" ht="24.75" customHeight="1">
      <c r="A19" s="3391">
        <v>4</v>
      </c>
      <c r="B19" s="3392"/>
      <c r="C19" s="3392"/>
      <c r="D19" s="3392"/>
      <c r="E19" s="3393"/>
      <c r="F19" s="936"/>
      <c r="G19" s="3391">
        <v>4</v>
      </c>
      <c r="H19" s="3392"/>
      <c r="I19" s="3393"/>
      <c r="J19" s="936"/>
      <c r="K19" s="3394">
        <v>4</v>
      </c>
      <c r="L19" s="3395"/>
      <c r="M19" s="3395"/>
      <c r="N19" s="3395"/>
      <c r="O19" s="3398" t="s">
        <v>2924</v>
      </c>
      <c r="P19" s="3399"/>
      <c r="Q19" s="462"/>
      <c r="R19" s="163"/>
    </row>
    <row r="20" spans="1:19" s="43" customFormat="1" ht="24.75" customHeight="1">
      <c r="A20" s="3391">
        <v>5</v>
      </c>
      <c r="B20" s="3392"/>
      <c r="C20" s="3392"/>
      <c r="D20" s="3392"/>
      <c r="E20" s="3393"/>
      <c r="F20" s="936"/>
      <c r="G20" s="3391">
        <v>5</v>
      </c>
      <c r="H20" s="3392"/>
      <c r="I20" s="3393"/>
      <c r="J20" s="1313" t="s">
        <v>3610</v>
      </c>
      <c r="K20" s="3394">
        <v>5</v>
      </c>
      <c r="L20" s="3395"/>
      <c r="M20" s="3395"/>
      <c r="N20" s="3395"/>
      <c r="O20" s="3396"/>
      <c r="P20" s="3397"/>
      <c r="Q20" s="163"/>
      <c r="R20" s="163"/>
    </row>
    <row r="21" spans="1:19" s="43" customFormat="1" ht="24.75" customHeight="1">
      <c r="A21" s="3391">
        <v>6</v>
      </c>
      <c r="B21" s="3392"/>
      <c r="C21" s="3392"/>
      <c r="D21" s="3392"/>
      <c r="E21" s="3393"/>
      <c r="F21" s="936"/>
      <c r="G21" s="3391">
        <v>6</v>
      </c>
      <c r="H21" s="3392"/>
      <c r="I21" s="3393"/>
      <c r="J21" s="936"/>
      <c r="K21" s="3394">
        <v>6</v>
      </c>
      <c r="L21" s="3395"/>
      <c r="M21" s="3395"/>
      <c r="N21" s="3395"/>
      <c r="O21" s="3396"/>
      <c r="P21" s="3397"/>
      <c r="Q21" s="163"/>
      <c r="R21" s="163"/>
    </row>
    <row r="22" spans="1:19" s="43" customFormat="1" ht="24.75" customHeight="1">
      <c r="A22" s="3391">
        <v>7</v>
      </c>
      <c r="B22" s="3392"/>
      <c r="C22" s="3392"/>
      <c r="D22" s="3392"/>
      <c r="E22" s="3393"/>
      <c r="F22" s="936"/>
      <c r="G22" s="3391">
        <v>7</v>
      </c>
      <c r="H22" s="3392"/>
      <c r="I22" s="3393"/>
      <c r="J22" s="1313" t="s">
        <v>3611</v>
      </c>
      <c r="K22" s="3394">
        <v>7</v>
      </c>
      <c r="L22" s="3395"/>
      <c r="M22" s="3395"/>
      <c r="N22" s="3395"/>
      <c r="O22" s="3396"/>
      <c r="P22" s="3397"/>
      <c r="Q22" s="163"/>
      <c r="R22" s="163"/>
    </row>
    <row r="23" spans="1:19" s="43" customFormat="1" ht="24.75" customHeight="1">
      <c r="A23" s="3391">
        <v>8</v>
      </c>
      <c r="B23" s="3392"/>
      <c r="C23" s="3392"/>
      <c r="D23" s="3392"/>
      <c r="E23" s="3393"/>
      <c r="F23" s="936"/>
      <c r="G23" s="3391">
        <v>8</v>
      </c>
      <c r="H23" s="3392"/>
      <c r="I23" s="3393"/>
      <c r="J23" s="936"/>
      <c r="K23" s="3394">
        <v>8</v>
      </c>
      <c r="L23" s="3395"/>
      <c r="M23" s="3395"/>
      <c r="N23" s="3395"/>
      <c r="O23" s="3396"/>
      <c r="P23" s="3397"/>
      <c r="Q23" s="163"/>
      <c r="R23" s="163"/>
    </row>
    <row r="24" spans="1:19" s="43" customFormat="1" ht="11.25" customHeight="1">
      <c r="A24" s="3391">
        <v>9</v>
      </c>
      <c r="B24" s="3392"/>
      <c r="C24" s="3392"/>
      <c r="D24" s="3392"/>
      <c r="E24" s="3393"/>
      <c r="F24" s="936"/>
      <c r="G24" s="3391">
        <v>9</v>
      </c>
      <c r="H24" s="3392"/>
      <c r="I24" s="3393"/>
      <c r="J24" s="1313" t="s">
        <v>3612</v>
      </c>
      <c r="K24" s="3394">
        <v>9</v>
      </c>
      <c r="L24" s="3395"/>
      <c r="M24" s="3395"/>
      <c r="N24" s="3395"/>
      <c r="O24" s="3396"/>
      <c r="P24" s="3397"/>
      <c r="Q24" s="163"/>
      <c r="R24" s="163"/>
    </row>
    <row r="25" spans="1:19" s="43" customFormat="1" ht="11.25" customHeight="1">
      <c r="A25" s="3391">
        <v>10</v>
      </c>
      <c r="B25" s="3392"/>
      <c r="C25" s="3392"/>
      <c r="D25" s="3392"/>
      <c r="E25" s="3393"/>
      <c r="F25" s="936"/>
      <c r="G25" s="3391">
        <v>10</v>
      </c>
      <c r="H25" s="3392"/>
      <c r="I25" s="3393"/>
      <c r="J25" s="936"/>
      <c r="K25" s="3394">
        <v>10</v>
      </c>
      <c r="L25" s="3395"/>
      <c r="M25" s="3395"/>
      <c r="N25" s="3395"/>
      <c r="O25" s="3396"/>
      <c r="P25" s="3397"/>
      <c r="Q25" s="163"/>
      <c r="R25" s="163"/>
    </row>
    <row r="26" spans="1:19" s="43" customFormat="1" ht="11.25" customHeight="1">
      <c r="A26" s="3391">
        <v>11</v>
      </c>
      <c r="B26" s="3392"/>
      <c r="C26" s="3392"/>
      <c r="D26" s="3392"/>
      <c r="E26" s="3393"/>
      <c r="F26" s="936"/>
      <c r="G26" s="3391">
        <v>11</v>
      </c>
      <c r="H26" s="3392"/>
      <c r="I26" s="3393"/>
      <c r="J26" s="1313" t="s">
        <v>3613</v>
      </c>
      <c r="K26" s="3391">
        <v>11</v>
      </c>
      <c r="L26" s="3392"/>
      <c r="M26" s="3392"/>
      <c r="N26" s="3393"/>
      <c r="O26" s="3396"/>
      <c r="P26" s="3397"/>
      <c r="Q26" s="163"/>
      <c r="R26" s="163"/>
    </row>
    <row r="27" spans="1:19" s="43" customFormat="1" ht="11.25" customHeight="1">
      <c r="A27" s="3425">
        <v>12</v>
      </c>
      <c r="B27" s="3426"/>
      <c r="C27" s="3426"/>
      <c r="D27" s="3426"/>
      <c r="E27" s="3427"/>
      <c r="F27" s="937"/>
      <c r="G27" s="3425">
        <v>12</v>
      </c>
      <c r="H27" s="3426"/>
      <c r="I27" s="3427"/>
      <c r="J27" s="937"/>
      <c r="K27" s="3425">
        <v>12</v>
      </c>
      <c r="L27" s="3426"/>
      <c r="M27" s="3426"/>
      <c r="N27" s="3427"/>
      <c r="O27" s="3423"/>
      <c r="P27" s="3424"/>
    </row>
    <row r="28" spans="1:19" s="44" customFormat="1" ht="11.25" customHeight="1">
      <c r="B28" s="1333"/>
      <c r="C28" s="1333"/>
      <c r="D28" s="1333"/>
      <c r="E28" s="3419" t="s">
        <v>4226</v>
      </c>
      <c r="F28" s="3420" t="s">
        <v>4539</v>
      </c>
      <c r="G28" s="3420"/>
      <c r="H28" s="3420"/>
      <c r="I28" s="3420"/>
      <c r="J28" s="3420"/>
      <c r="K28" s="3420"/>
      <c r="L28" s="3420"/>
      <c r="M28" s="3420"/>
      <c r="N28" s="3420"/>
      <c r="O28" s="3420"/>
      <c r="P28" s="3420"/>
      <c r="Q28" s="112"/>
      <c r="R28" s="391"/>
    </row>
    <row r="29" spans="1:19" s="43" customFormat="1" ht="10.5" customHeight="1">
      <c r="A29" s="303" t="s">
        <v>4196</v>
      </c>
      <c r="B29" s="1316" t="s">
        <v>4197</v>
      </c>
      <c r="C29" s="1316"/>
      <c r="D29" s="1316"/>
      <c r="E29" s="3411"/>
      <c r="F29" s="3421" t="s">
        <v>4225</v>
      </c>
      <c r="G29" s="3421"/>
      <c r="H29" s="3421"/>
      <c r="I29" s="3421"/>
      <c r="J29" s="3421"/>
      <c r="K29" s="3421"/>
      <c r="L29" s="3421"/>
      <c r="M29" s="3421"/>
      <c r="N29" s="3422"/>
      <c r="O29" s="3401">
        <f>SUM(O30:O41)</f>
        <v>0</v>
      </c>
      <c r="P29" s="3402"/>
      <c r="Q29" s="463"/>
      <c r="R29" s="163"/>
    </row>
    <row r="30" spans="1:19" s="43" customFormat="1" ht="10.5" customHeight="1">
      <c r="A30" s="1299" t="s">
        <v>750</v>
      </c>
      <c r="B30" s="1300" t="s">
        <v>4198</v>
      </c>
      <c r="C30" s="1301"/>
      <c r="D30" s="1302"/>
      <c r="E30" s="1358">
        <f>$O$57</f>
        <v>10</v>
      </c>
      <c r="F30" s="3463" t="str">
        <f>$A$63</f>
        <v xml:space="preserve">Tindall Fields III qualifies for the maximum points for this scoring section.  There are 3 desirable activities within a 1.5 mile driving or walking distance of Tindall Fields III that qualify for 1 point, and 5  desirable activities within a .5 mile driving or walking distance that qualify for 2 points.  Our A/E team determined the Geocoordinates for our planned site entrance located on Nussbaum Avenue which is indicated on both the desirable certification and site plan. We have also used the DCA required Google Maps to measure each distance to our selected desirable activities.
There is an older unoccupied residential dwelling directly across the street from the proposed Tindall Fields III Site Entrance (less than 0.25 miles). Although deteriorated in nature, it does not per the QAP, "detract from an area's physical appearance, diminish living conditions and/or safety of the neighborhood, and/or decrease the marketability of the proposed site" (Scoring Section, Pg 6). 
Our position is supported by the Novogradac market study, which confirmed that this property does not impact the Tindall Fields/neighborhood from a marketability standpoint when they state that, "During our site inspection, we observed a few vacant single-family homes in the Subject’s neighborhood. These vacant structures will not negatively impact the performance of the Subject. The Subject will be a compatible use within the immediate neighborhood" (See Tab 05-01, Novogradac Market Study, Page 3).
Furthermore, it is the Macon Housing Authority/In-Fill Housing’s goal to improve the community, and we’ve agreed to mitigate the property by demolishing the vacant dwelling on it. As the mitigation will be completed by the applicant as opposed to a third party, the structure will be removed by the placed-in-service date for the project. As part of our documentation, a copy of the "Demolition Agreement and Release" for the property, is included at Tab 27-04-01. We have also included a letter from the MHA/In-Fill Housing CEO that confirms that we have both the “site control” and the necessary funds to complete the mitigation, per Tab 27-04-02.
To summarize, we are not claiming an undesirable property, but we are making improvements to the property in question within the 0.25 mile radius in our continued effort to improve the Tindall Heights community. 
</v>
      </c>
      <c r="G30" s="3464"/>
      <c r="H30" s="3464"/>
      <c r="I30" s="3464"/>
      <c r="J30" s="3464"/>
      <c r="K30" s="3464"/>
      <c r="L30" s="3464"/>
      <c r="M30" s="3464"/>
      <c r="N30" s="3465"/>
      <c r="O30" s="3389" t="s">
        <v>1746</v>
      </c>
      <c r="P30" s="3390"/>
      <c r="Q30" s="461"/>
      <c r="R30" s="163"/>
    </row>
    <row r="31" spans="1:19" s="43" customFormat="1" ht="10.5" customHeight="1">
      <c r="A31" s="1303" t="s">
        <v>1807</v>
      </c>
      <c r="B31" s="1033" t="s">
        <v>4199</v>
      </c>
      <c r="C31" s="1188"/>
      <c r="D31" s="1304"/>
      <c r="E31" s="1359">
        <f>$O$94</f>
        <v>2</v>
      </c>
      <c r="F31" s="3431" t="str">
        <f>$A$107</f>
        <v xml:space="preserve">Tindall Fields III qualifies for points for this scoring section because Kathleen Mathews and Mark Strickland attended the Southface online seminar titled “Green Building for Affordable Housing” on April 20, 2018.  Their Certificates of Participation are at Tab 29-03-02.  For Section V-B:  we will achieve EarthCraft multifamily certification, as indicated by the worksheet at Tab 29-03-01. Per the worksheet, our expected score is 116; the minimum scoring requirement is 100. 
After submitting draft architectural plans to our qualified energy modeler (Ed Foskey with Synergy Home Advantage), he concluded that we are eligible for the point designated to the High Performance Building Design for having a worst case HERS Index that is at least 15% lower than the ENERGY STAR Target Index. The reports can be seen at Tab 29-05-01 &amp; Tab 29-05-02. 
</v>
      </c>
      <c r="G31" s="3432"/>
      <c r="H31" s="3432"/>
      <c r="I31" s="3432"/>
      <c r="J31" s="3432"/>
      <c r="K31" s="3432"/>
      <c r="L31" s="3432"/>
      <c r="M31" s="3432"/>
      <c r="N31" s="3433"/>
      <c r="O31" s="3301"/>
      <c r="P31" s="3302"/>
      <c r="Q31" s="3298" t="str">
        <f>IF(OR($A$63="",$A$107="",$A$290="",$A$185="",$A$224="",$A$266="",$A$312="",$A$342="",$A$358="",$A$392="",$A$410="",$A$429=""),"Some Applicant Scoring Justification boxes are empty! Check to see if points claimed.","")</f>
        <v/>
      </c>
      <c r="R31" s="3299"/>
      <c r="S31" s="3299"/>
    </row>
    <row r="32" spans="1:19" s="43" customFormat="1" ht="10.5" customHeight="1">
      <c r="A32" s="1303" t="s">
        <v>780</v>
      </c>
      <c r="B32" s="1033" t="s">
        <v>4200</v>
      </c>
      <c r="C32" s="1188"/>
      <c r="D32" s="1304"/>
      <c r="E32" s="1359">
        <f>$O$153</f>
        <v>2</v>
      </c>
      <c r="F32" s="3431" t="str">
        <f>$A$185</f>
        <v xml:space="preserve">Scoring Section A, Quality Education Areas, is N/A.
For Scoring Section B, Workforce Housing Need, Tindall Fields III qualifies for the maximum two points in this scoring section.  According to the US Census survey (enclosed at Tab 31-03), there are over 27,429 jobs within a two-mile radius of our property, an increase of over 1,000 jobs from last year, and which is over three times the 9,000 jobs required to meet the 50%-over-threshold requirement for Macon-Bibb.  Again, please see Tab 31-03 and Tab 31-04 for the required documentation.
</v>
      </c>
      <c r="G32" s="3432"/>
      <c r="H32" s="3432"/>
      <c r="I32" s="3432"/>
      <c r="J32" s="3432"/>
      <c r="K32" s="3432"/>
      <c r="L32" s="3432"/>
      <c r="M32" s="3432"/>
      <c r="N32" s="3433"/>
      <c r="O32" s="3440" t="s">
        <v>2924</v>
      </c>
      <c r="P32" s="3441"/>
      <c r="Q32" s="3298"/>
      <c r="R32" s="3299"/>
      <c r="S32" s="3299"/>
    </row>
    <row r="33" spans="1:19" s="43" customFormat="1" ht="10.5" customHeight="1">
      <c r="A33" s="1303" t="s">
        <v>294</v>
      </c>
      <c r="B33" s="1033" t="s">
        <v>4201</v>
      </c>
      <c r="C33" s="1188"/>
      <c r="D33" s="1304"/>
      <c r="E33" s="1432">
        <f>$O$189</f>
        <v>7</v>
      </c>
      <c r="F33" s="3437" t="str">
        <f>$A$224</f>
        <v xml:space="preserve">Tindall Fields III qualifies for the maximum points for this scoring section.  We have a fully-compliant, current and active Macon-Bibb Urban Redevelopment Plan (see Tab 32-01-10), our site is in QCT 105 as documented at Tab 32-01-01, and our Off-Site Capital Investment meets all of the DCA requirements at Tab 32-02-01 through 32-02-10. 
Our Macon-Bibb Urban Redevelopment Plan (our local government’s name for the Community Revitalization Plan) has a long history. The City of Macon adopted an Urban Redevelopment Plan in March 2011.  The City of Macon and Bibb County officially consolidated their two governments on January 1, 2014, and the newly-formed consolidated Macon-Bibb Commission thereafter adopted the City’s Plan with minor amendments in May 2014.  In April 2016, the Macon Bibb County Commission updated the Plan to incorporate other areas of the County (Tindall Heights was not affected by this update.) In May 2017, the Macon Bibb County Commission updated the Plan to ensure full compliance with the DCA 2017 QAP requirements and to acknowledge the new Community Transformation Plan that was just getting underway. The current Macon-Bibb Urban Redevelopment Plan (URP) was officially adopted by the Macon-Bibb County Commission on May 1, 2018 to document progress made with the URP activities during the last twelve months. Perhaps the most significant update was the completion of a “Blexting Survey” to help combat the presence of blight in the URP targeted area. Please see Tab 32-01-01 through 32-01-10 that we believe will document to DCA’s satisfaction that we have a complete, active, and ongoing Community Revitalization Plan.   Tab 32 demonstrates to DCA that our URP is much more than a “plan sitting on a shelf” and that numerous improvements are underway in Macon-Bibb as a result of the integrity of the Community Revitalization Plan process.  Reference is made to Mayor Reichert’s letter at Tab 32-01-07 that more specifically certifies to this.
</v>
      </c>
      <c r="G33" s="3438"/>
      <c r="H33" s="3438"/>
      <c r="I33" s="3438"/>
      <c r="J33" s="3438"/>
      <c r="K33" s="3438"/>
      <c r="L33" s="3438"/>
      <c r="M33" s="3438"/>
      <c r="N33" s="3439"/>
      <c r="O33" s="3440" t="s">
        <v>2924</v>
      </c>
      <c r="P33" s="3441"/>
      <c r="Q33" s="3298"/>
      <c r="R33" s="3299"/>
      <c r="S33" s="3299"/>
    </row>
    <row r="34" spans="1:19" s="43" customFormat="1" ht="10.5" customHeight="1">
      <c r="A34" s="1309" t="s">
        <v>428</v>
      </c>
      <c r="B34" s="1310" t="s">
        <v>4202</v>
      </c>
      <c r="C34" s="1311"/>
      <c r="D34" s="1312"/>
      <c r="E34" s="1360" t="s">
        <v>1746</v>
      </c>
      <c r="F34" s="3434" t="str">
        <f>$A$266</f>
        <v xml:space="preserve"> Tindall Fields III qualifies for the maximum points for this scoring section. In 2017 the Macon community created a Community Transformation Plan, which received DCA’s approval as part of its allocation of credits for Tindall Fields II (DCA 17-028).  The Macon-Bibb political and local leaders in education, health, transportation, and employment came together thanks to the leadership of Mayor Robert Reichert, the United Way of Central Georgia (our Community Quarterback at the time) and MHA/In-Fill Housing (the Community Based Developer).  The 2017 Community Transformation Plan not only identified existing barriers to available resources but it has also led to the creation of several new initiatives as a direct result of the Plan’s development.  There were many creative responses where old problems met new opportunities including:  a) a Healthy Housing Initiative,  b) a “Leader in Me” program established for the Defined Neighborhood’s Elementary School and funded by a local family foundation, c) an Innovative Project Concept developed by Mercer University, targeting at-risk middle school kids and focusing on mentoring and whole-family financial literacy where the Bibb County School District, the Mid-South Federal Credit Union and Operation HOPE are major partners, d) a United Way-sponsored 211 Program, and so much more as described in the 2017 Community Transformation Plan.  
Since last year’s Tindall Fields II (DCA 17-028) is the second of three Tindall family phases, we have both “reached back” to include the Tindall Fields I (DCA 16-043) residents and we are “reaching forward” this year with Tindall Fields III, as well.  Including both Tindall Fields I and Tindall Fields III as part of the Transformation Plan is not genius on our part, its simple common sense. It in effect gives our various new initiatives a one year head start compared to other 2017 projects, since DCA will see our results from these new initiatives one year earlier than expected with the inclusion of Tindall Fields I.  Therefore, with three Tindall Fields developments, DCA will see both earlier results and program data for a longer period of time when compared to more typical community transformation projects.  
For Scoring Section A.4, we have received two new and significant funding commitments in full compliance with the DCA requirements for a Community Improvement Fund. First, the Community Foundation of Central Georgia has pledged $50,000 in scholarships to the future residents of Tindall Fields III and the Defined Neighborhood. This is an incredibly significant new contribution that speaks volumes about the community’s belief that what is taking place at Tindall is exciting and worth supporting. Second, we have a $5,000 commitment from the Middle Georgia State University Foundation that will also be earmarked for college scholarships for those aspiring students from the Defined Neighborhood.  Please see Tab 33-04-01 through 33-04-03.
IX.A.2.a):  Please note that although the Transformation Community Certificate at II.2.B requests philanthropic activity between 5/25/14 and 5/23/18, we have provided information from 5/25/15 through 5/23/18, as required by the QAP, Scoring Page 26, under “Philanthropic Activities”, the second bulleted item. 
For Scoring Section B, Community Quarterback Board,  our Community Quarterback Board exceeds all of the DCA requirements.  Please see Tab 33-05-05 which documents that 1/3 of the CQB members represent the low income cohort, while another 1/3 of the CQB members represent local government. Furthermore, this Board has already had its inaugural meeting and the minutes of that meeting along with meeting handouts, Agenda, sign-in sheet, and photos are all included at Tab 33-05-05. To carry the football analogy just a bit further, the Community Quarterback Board is already moving the ball downfield!
</v>
      </c>
      <c r="G34" s="3435"/>
      <c r="H34" s="3435"/>
      <c r="I34" s="3435"/>
      <c r="J34" s="3435"/>
      <c r="K34" s="3435"/>
      <c r="L34" s="3435"/>
      <c r="M34" s="3435"/>
      <c r="N34" s="3436"/>
      <c r="O34" s="3301"/>
      <c r="P34" s="3302"/>
      <c r="Q34" s="3298"/>
      <c r="R34" s="3299"/>
      <c r="S34" s="3299"/>
    </row>
    <row r="35" spans="1:19" s="43" customFormat="1" ht="10.5" customHeight="1">
      <c r="A35" s="1303" t="s">
        <v>365</v>
      </c>
      <c r="B35" s="1033" t="s">
        <v>3818</v>
      </c>
      <c r="C35" s="1188"/>
      <c r="D35" s="1304"/>
      <c r="E35" s="1359">
        <f>$O$286</f>
        <v>0</v>
      </c>
      <c r="F35" s="3431" t="str">
        <f>$A$290</f>
        <v>Community Designations is N/A</v>
      </c>
      <c r="G35" s="3432"/>
      <c r="H35" s="3432"/>
      <c r="I35" s="3432"/>
      <c r="J35" s="3432"/>
      <c r="K35" s="3432"/>
      <c r="L35" s="3432"/>
      <c r="M35" s="3432"/>
      <c r="N35" s="3433"/>
      <c r="O35" s="3301"/>
      <c r="P35" s="3302"/>
      <c r="Q35" s="3298"/>
      <c r="R35" s="3299"/>
      <c r="S35" s="3299"/>
    </row>
    <row r="36" spans="1:19" s="43" customFormat="1" ht="10.5" customHeight="1">
      <c r="A36" s="1303" t="s">
        <v>2267</v>
      </c>
      <c r="B36" s="1033" t="s">
        <v>4203</v>
      </c>
      <c r="C36" s="1188"/>
      <c r="D36" s="1304"/>
      <c r="E36" s="1360">
        <f>$O$337</f>
        <v>1</v>
      </c>
      <c r="F36" s="3431" t="str">
        <f>$A$342</f>
        <v>We hereby request this point per the 2018 QAP provisions.  We are claiming this point for Tindall Fields III only, since this is the only application submitted by the project team in 2018.</v>
      </c>
      <c r="G36" s="3432"/>
      <c r="H36" s="3432"/>
      <c r="I36" s="3432"/>
      <c r="J36" s="3432"/>
      <c r="K36" s="3432"/>
      <c r="L36" s="3432"/>
      <c r="M36" s="3432"/>
      <c r="N36" s="3433"/>
      <c r="O36" s="3301"/>
      <c r="P36" s="3302"/>
      <c r="Q36" s="3298"/>
      <c r="R36" s="3299"/>
      <c r="S36" s="3299"/>
    </row>
    <row r="37" spans="1:19" s="43" customFormat="1" ht="10.5" customHeight="1">
      <c r="A37" s="1303" t="s">
        <v>4515</v>
      </c>
      <c r="B37" s="1033" t="s">
        <v>4516</v>
      </c>
      <c r="C37" s="1188"/>
      <c r="D37" s="1304"/>
      <c r="E37" s="1360">
        <f>$O$294</f>
        <v>3</v>
      </c>
      <c r="F37" s="3437" t="str">
        <f>$A$312</f>
        <v xml:space="preserve">Tindall Fields III qualifies for the maximum 3 points for this scoring section because Tindall Fields III is part of a phased development.  There’s no hiding the fact that Tindall Fields III is the fourth and final phase of the Tindall redevelopment plan; please see Tab 36-01 documenting this. This means that we cannot qualify for points under QAP scoring section XII.A since, per that section of the 2018 QAP, “…only the second and third phase of a project may receive these points.” However, QAP scoring section XII.B on page 34 exempts PHA-sponsored developments by stating that “the following developments are not included in the analysis of previous completive funding cycles: phased public housing development properties.”  
Tab 36-02 has been expanded to document that Tindall Fields III is part of a phased public housing redevelopment, and we therefore qualify for points under scoring section XII.B, page 34.  The following documentation is provided to show that Tindall Fields III is part of a phased development:  Tab 36-02-01, HUD’s approval of MHA’s Demo-Dispo Plan, showing that MHA has site control for the entire Tindall site; and Tab 36-02-02, MHA and In-Fill Housing II entered into Options to ground lease Phases II-IV in 2016.
</v>
      </c>
      <c r="G37" s="3438"/>
      <c r="H37" s="3438"/>
      <c r="I37" s="3438"/>
      <c r="J37" s="3438"/>
      <c r="K37" s="3438"/>
      <c r="L37" s="3438"/>
      <c r="M37" s="3438"/>
      <c r="N37" s="3439"/>
      <c r="O37" s="3301"/>
      <c r="P37" s="3302"/>
      <c r="Q37" s="3298"/>
      <c r="R37" s="3299"/>
      <c r="S37" s="3299"/>
    </row>
    <row r="38" spans="1:19" s="43" customFormat="1" ht="10.5" customHeight="1">
      <c r="A38" s="1309" t="s">
        <v>4149</v>
      </c>
      <c r="B38" s="1310" t="s">
        <v>4204</v>
      </c>
      <c r="C38" s="1311"/>
      <c r="D38" s="1312"/>
      <c r="E38" s="1431">
        <f>$O$346</f>
        <v>0</v>
      </c>
      <c r="F38" s="3434" t="str">
        <f>$A$358</f>
        <v>This Tab is N/A.</v>
      </c>
      <c r="G38" s="3435"/>
      <c r="H38" s="3435"/>
      <c r="I38" s="3435"/>
      <c r="J38" s="3435"/>
      <c r="K38" s="3435"/>
      <c r="L38" s="3435"/>
      <c r="M38" s="3435"/>
      <c r="N38" s="3436"/>
      <c r="O38" s="3301"/>
      <c r="P38" s="3302"/>
      <c r="Q38" s="3298"/>
      <c r="R38" s="3299"/>
      <c r="S38" s="3299"/>
    </row>
    <row r="39" spans="1:19" s="43" customFormat="1" ht="10.5" customHeight="1">
      <c r="A39" s="1303" t="s">
        <v>4150</v>
      </c>
      <c r="B39" s="1033" t="s">
        <v>4205</v>
      </c>
      <c r="C39" s="1188"/>
      <c r="D39" s="1304"/>
      <c r="E39" s="1359">
        <f>$O$362</f>
        <v>4</v>
      </c>
      <c r="F39" s="3431" t="str">
        <f>$A$392</f>
        <v>Tindall Fields III qualifies for the maximum points for this scoring section for both Sections A and B.  For Section XVII. A, Tindall Fields III qualifies for the maximum points because we have a loan from Macon-Bibb County and its Urban Development Authority in the amount of $1,400,000.  Our total qualifying sources therefore exceed 10% of our TDC. The appropriate financing documents and related material are all found at Tab 40-01-01; this documentation shows that this Macon-Bibb County loan is in full compliance with QAP Scoring section XVII. 
For Section XVII. B,  Tindall Fields III qualifies for the points for this section because we have an executed Option to Ground Lease from the Macon-Bibb Housing Authority.  These ground lease documents are found at Tab 08-01 and Tab 40-02-01.  This Option is in full compliance with the DCA requirements in QAP Scoring Section XVII.B.</v>
      </c>
      <c r="G39" s="3432"/>
      <c r="H39" s="3432"/>
      <c r="I39" s="3432"/>
      <c r="J39" s="3432"/>
      <c r="K39" s="3432"/>
      <c r="L39" s="3432"/>
      <c r="M39" s="3432"/>
      <c r="N39" s="3433"/>
      <c r="O39" s="3301"/>
      <c r="P39" s="3302"/>
      <c r="Q39" s="3298"/>
      <c r="R39" s="3299"/>
      <c r="S39" s="3299"/>
    </row>
    <row r="40" spans="1:19" s="43" customFormat="1" ht="10.5" customHeight="1">
      <c r="A40" s="1303" t="s">
        <v>4148</v>
      </c>
      <c r="B40" s="1033" t="s">
        <v>4206</v>
      </c>
      <c r="C40" s="1188"/>
      <c r="D40" s="1304"/>
      <c r="E40" s="1359">
        <f>$O$396</f>
        <v>3</v>
      </c>
      <c r="F40" s="3431" t="str">
        <f>$A$410</f>
        <v xml:space="preserve">Tindall Fields III qualifies for the maximum points for the following reasons.  First, we have a Section 8 PBRA commitment from MHA for 25 Section 8 Project Based Vouchers for 20 years (38% of the 65 total units). Please see Tabs 01-03-01, Tab 26-01, and Tab 41-01 for this documentation. Second, the Owner/Developer team has also agreed to allocate a minimum of 15% of the total units for the targeted population preference in accordance with the DCA requirements for this section.  Third, in 2015, the MHA Board of Commissioners adopted a “landmark” admissions preference in accordance with DCA requirements where MHA will accept referrals from Georgia DBHDD for the highest admissions preference possible for a Section 8 program preference. In 2015 MHA submitted the required letter to HUD pursuant to DCA’s guidance at that year’s “Housing Finance and Development Update # 39”. Following that, HUD Fair Housing approved MHA’s admissions preference and by letter dated June 8, 2016 MHA now has all final HUD approvals needed to implement this Section 8 admissions preference. All of this information is found at Tab 41-02. 
Furthermore, although this Tab doesn’t require us to have MOAs with local service providers, we have obtained two:  one from the River Edge Behavioral Health Center and another one from Disability Connections. Please see Tab 41-02-02 and 41-02-03 for this supporting documentation. 
Clearly, In-Fill Housing has fully embraced the underlying philosophy of Integrated Supportive Housing, and Tindall Fields III will be fully-compliant with the DCA requirements for the Target Population Preference.   
</v>
      </c>
      <c r="G40" s="3432"/>
      <c r="H40" s="3432"/>
      <c r="I40" s="3432"/>
      <c r="J40" s="3432"/>
      <c r="K40" s="3432"/>
      <c r="L40" s="3432"/>
      <c r="M40" s="3432"/>
      <c r="N40" s="3433"/>
      <c r="O40" s="3301"/>
      <c r="P40" s="3302"/>
      <c r="Q40" s="3298"/>
      <c r="R40" s="3299"/>
      <c r="S40" s="3299"/>
    </row>
    <row r="41" spans="1:19" s="43" customFormat="1" ht="10.5" customHeight="1">
      <c r="A41" s="1305" t="s">
        <v>4151</v>
      </c>
      <c r="B41" s="1306" t="s">
        <v>4207</v>
      </c>
      <c r="C41" s="1307"/>
      <c r="D41" s="1308"/>
      <c r="E41" s="1361">
        <f>$O$414</f>
        <v>0</v>
      </c>
      <c r="F41" s="3442" t="str">
        <f>$A$429</f>
        <v>N/A</v>
      </c>
      <c r="G41" s="3443"/>
      <c r="H41" s="3443"/>
      <c r="I41" s="3443"/>
      <c r="J41" s="3443"/>
      <c r="K41" s="3443"/>
      <c r="L41" s="3443"/>
      <c r="M41" s="3443"/>
      <c r="N41" s="3444"/>
      <c r="O41" s="3429"/>
      <c r="P41" s="3430"/>
      <c r="Q41" s="3298"/>
      <c r="R41" s="3299"/>
      <c r="S41" s="3299"/>
    </row>
    <row r="42" spans="1:19" s="44" customFormat="1" ht="3" customHeight="1" thickBot="1">
      <c r="D42" s="40"/>
      <c r="E42" s="37"/>
      <c r="F42" s="941"/>
      <c r="G42" s="941"/>
      <c r="H42" s="941"/>
      <c r="I42" s="941"/>
      <c r="J42" s="956"/>
      <c r="K42" s="956"/>
      <c r="L42" s="956"/>
      <c r="M42" s="61"/>
      <c r="N42" s="941"/>
      <c r="O42" s="1587"/>
      <c r="P42" s="3"/>
    </row>
    <row r="43" spans="1:19" s="105" customFormat="1" ht="12" customHeight="1" thickBot="1">
      <c r="A43" s="158" t="s">
        <v>748</v>
      </c>
      <c r="B43" s="109" t="s">
        <v>3614</v>
      </c>
      <c r="E43" s="58"/>
      <c r="G43" s="222"/>
      <c r="H43" s="53"/>
      <c r="I43" s="46" t="s">
        <v>3512</v>
      </c>
      <c r="M43" s="941">
        <v>3</v>
      </c>
      <c r="N43" s="7"/>
      <c r="O43" s="1194">
        <f>IF(AND(O47&gt;0,O51&gt;0),"AorB?",MIN($M$43,O47+O51))</f>
        <v>3</v>
      </c>
      <c r="P43" s="1194">
        <f>IF(AND(P47&gt;0,P51&gt;0),"AorB?",MIN($M$43,P47+P51))</f>
        <v>0</v>
      </c>
      <c r="Q43" s="112" t="s">
        <v>443</v>
      </c>
      <c r="R43" s="391" t="str">
        <f>IF(OR($O43=$M43,$O43=0,$O43=""),"","* * Check Score! * *")</f>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1999</v>
      </c>
      <c r="B45" s="964" t="s">
        <v>2642</v>
      </c>
      <c r="E45" s="58"/>
      <c r="G45" s="90"/>
      <c r="H45" s="3466" t="s">
        <v>3615</v>
      </c>
      <c r="I45" s="3466"/>
      <c r="J45" s="966">
        <f>'Part VI-Revenues &amp; Expenses'!$O$60</f>
        <v>65</v>
      </c>
      <c r="K45" s="965"/>
      <c r="M45" s="941"/>
      <c r="N45" s="7"/>
      <c r="Q45" s="7"/>
      <c r="R45" s="391"/>
    </row>
    <row r="46" spans="1:19" s="105" customFormat="1" ht="13.5" customHeight="1">
      <c r="A46" s="143"/>
      <c r="B46" s="3349" t="s">
        <v>3616</v>
      </c>
      <c r="C46" s="3349"/>
      <c r="D46" s="3349"/>
      <c r="E46" s="3349"/>
      <c r="F46" s="3349"/>
      <c r="G46" s="934"/>
      <c r="H46" s="1093" t="s">
        <v>3617</v>
      </c>
      <c r="I46" s="1093" t="s">
        <v>3618</v>
      </c>
      <c r="J46" s="934"/>
      <c r="K46" s="3248" t="s">
        <v>3395</v>
      </c>
      <c r="L46" s="3248"/>
      <c r="M46" s="941"/>
      <c r="N46" s="7"/>
      <c r="Q46" s="7"/>
      <c r="R46" s="391"/>
    </row>
    <row r="47" spans="1:19" s="105" customFormat="1" ht="13.5" customHeight="1">
      <c r="B47" s="3349"/>
      <c r="C47" s="3349"/>
      <c r="D47" s="3349"/>
      <c r="E47" s="3349"/>
      <c r="F47" s="3349"/>
      <c r="G47" s="3146" t="s">
        <v>3742</v>
      </c>
      <c r="H47" s="3146"/>
      <c r="I47" s="3146"/>
      <c r="J47" s="3146"/>
      <c r="K47" s="969" t="s">
        <v>3617</v>
      </c>
      <c r="L47" s="969" t="s">
        <v>3618</v>
      </c>
      <c r="M47" s="955">
        <v>2</v>
      </c>
      <c r="N47" s="404" t="s">
        <v>1999</v>
      </c>
      <c r="O47" s="972">
        <f>SUM(O48:O49)</f>
        <v>0</v>
      </c>
      <c r="P47" s="972">
        <f>SUM(P48:P49)</f>
        <v>0</v>
      </c>
    </row>
    <row r="48" spans="1:19" s="441" customFormat="1" ht="13.5" customHeight="1">
      <c r="A48" s="440"/>
      <c r="B48" s="611" t="s">
        <v>2002</v>
      </c>
      <c r="C48" s="612">
        <v>0.15</v>
      </c>
      <c r="D48" s="144" t="s">
        <v>3394</v>
      </c>
      <c r="H48" s="2189"/>
      <c r="I48" s="1347"/>
      <c r="K48" s="613">
        <f>IF(OR('Part VI-Revenues &amp; Expenses'!$O$60="", 'Part VI-Revenues &amp; Expenses'!$O$60=0),0,H48/'Part VI-Revenues &amp; Expenses'!$O$60)</f>
        <v>0</v>
      </c>
      <c r="L48" s="613">
        <f>IF(OR('Part VI-Revenues &amp; Expenses'!$O$60="", 'Part VI-Revenues &amp; Expenses'!$O$60=0),0,I48/'Part VI-Revenues &amp; Expenses'!$O$60)</f>
        <v>0</v>
      </c>
      <c r="M48" s="1123">
        <v>1</v>
      </c>
      <c r="N48" s="404" t="s">
        <v>2002</v>
      </c>
      <c r="O48" s="967">
        <f>IF(AND(K48 &gt;= $C$48,K48&lt;$C$49),$M48,0)</f>
        <v>0</v>
      </c>
      <c r="P48" s="967">
        <f>IF(AND(L48 &gt;= $C$48,L48&lt;$C$49),$M48,0)</f>
        <v>0</v>
      </c>
    </row>
    <row r="49" spans="1:18" s="441" customFormat="1" ht="13.5" customHeight="1">
      <c r="A49" s="619" t="s">
        <v>3365</v>
      </c>
      <c r="B49" s="611" t="s">
        <v>2004</v>
      </c>
      <c r="C49" s="612">
        <v>0.2</v>
      </c>
      <c r="D49" s="144" t="s">
        <v>3394</v>
      </c>
      <c r="H49" s="2190"/>
      <c r="I49" s="1348"/>
      <c r="K49" s="1094">
        <f>IF(OR('Part VI-Revenues &amp; Expenses'!$O$60="", 'Part VI-Revenues &amp; Expenses'!$O$60=0),0,H49/'Part VI-Revenues &amp; Expenses'!$O$60)</f>
        <v>0</v>
      </c>
      <c r="L49" s="1094">
        <f>IF(OR('Part VI-Revenues &amp; Expenses'!$O$60="", 'Part VI-Revenues &amp; Expenses'!$O$60=0),0,I49/'Part VI-Revenues &amp; Expenses'!$O$60)</f>
        <v>0</v>
      </c>
      <c r="M49" s="1123">
        <v>2</v>
      </c>
      <c r="N49" s="404" t="s">
        <v>2004</v>
      </c>
      <c r="O49" s="968">
        <f>IF(K49&gt;=$C$49,$M49,0)</f>
        <v>0</v>
      </c>
      <c r="P49" s="968">
        <f>IF(L49&gt;=$C$49,$M49,0)</f>
        <v>0</v>
      </c>
    </row>
    <row r="50" spans="1:18" s="441" customFormat="1" ht="6.75" customHeight="1">
      <c r="A50" s="619"/>
      <c r="B50" s="611"/>
      <c r="C50" s="612"/>
      <c r="D50" s="144"/>
      <c r="K50" s="963"/>
      <c r="L50" s="963"/>
      <c r="M50" s="1123"/>
      <c r="N50" s="404"/>
      <c r="O50" s="971"/>
      <c r="P50" s="971"/>
    </row>
    <row r="51" spans="1:18" s="441" customFormat="1" ht="13.5" customHeight="1">
      <c r="A51" s="143" t="s">
        <v>2001</v>
      </c>
      <c r="B51" s="964" t="s">
        <v>3677</v>
      </c>
      <c r="E51" s="442"/>
      <c r="H51" s="3146" t="s">
        <v>3679</v>
      </c>
      <c r="I51" s="3146"/>
      <c r="M51" s="955">
        <v>3</v>
      </c>
      <c r="N51" s="166" t="s">
        <v>2001</v>
      </c>
      <c r="O51" s="972">
        <f>IF(AND(O52="Yes", O53="Yes"),$M$51,0)</f>
        <v>3</v>
      </c>
      <c r="P51" s="972">
        <f>IF(AND(P52="Yes", P53="Yes"),$M$51,0)</f>
        <v>0</v>
      </c>
    </row>
    <row r="52" spans="1:18" s="441" customFormat="1" ht="13.5" customHeight="1">
      <c r="A52" s="440"/>
      <c r="B52" s="611" t="s">
        <v>2002</v>
      </c>
      <c r="C52" s="612">
        <v>0.3</v>
      </c>
      <c r="D52" s="144" t="s">
        <v>3678</v>
      </c>
      <c r="E52" s="442"/>
      <c r="F52" s="938"/>
      <c r="H52" s="2191">
        <v>25</v>
      </c>
      <c r="I52" s="1349"/>
      <c r="J52" s="923"/>
      <c r="K52" s="993">
        <f>IF(OR('Part VI-Revenues &amp; Expenses'!$O$60="", 'Part VI-Revenues &amp; Expenses'!$O$60=0),0,H52/'Part VI-Revenues &amp; Expenses'!$O$60)</f>
        <v>0.38461538461538464</v>
      </c>
      <c r="L52" s="993">
        <f>IF(OR('Part VI-Revenues &amp; Expenses'!$O$60="", 'Part VI-Revenues &amp; Expenses'!$O$60=0),0,I52/'Part VI-Revenues &amp; Expenses'!$O$60)</f>
        <v>0</v>
      </c>
      <c r="M52" s="1123"/>
      <c r="N52" s="404" t="s">
        <v>2002</v>
      </c>
      <c r="O52" s="967" t="str">
        <f>IF(K52 &gt;= $C$52,"Yes","No")</f>
        <v>Yes</v>
      </c>
      <c r="P52" s="967" t="str">
        <f>IF(L52 &gt;= $C$52,"Yes","No")</f>
        <v>No</v>
      </c>
    </row>
    <row r="53" spans="1:18" s="441" customFormat="1" ht="13.5" customHeight="1">
      <c r="A53" s="619"/>
      <c r="B53" s="611" t="s">
        <v>2004</v>
      </c>
      <c r="C53" s="938" t="s">
        <v>3991</v>
      </c>
      <c r="E53" s="1006"/>
      <c r="F53" s="938"/>
      <c r="I53" s="970"/>
      <c r="J53" s="970"/>
      <c r="K53" s="970"/>
      <c r="L53" s="970"/>
      <c r="M53" s="970"/>
      <c r="N53" s="404" t="s">
        <v>2004</v>
      </c>
      <c r="O53" s="2192" t="s">
        <v>3010</v>
      </c>
      <c r="P53" s="563"/>
    </row>
    <row r="54" spans="1:18" s="44" customFormat="1" ht="10.5" customHeight="1">
      <c r="A54" s="43"/>
      <c r="B54" s="100" t="s">
        <v>1880</v>
      </c>
      <c r="C54" s="441"/>
      <c r="D54" s="88"/>
      <c r="E54" s="1592"/>
      <c r="F54" s="1592"/>
      <c r="G54" s="1592"/>
      <c r="H54" s="1592"/>
      <c r="I54" s="1592"/>
      <c r="J54" s="1592"/>
      <c r="K54" s="1592"/>
      <c r="L54" s="1592"/>
      <c r="M54" s="1592"/>
      <c r="N54" s="77"/>
      <c r="O54" s="73"/>
      <c r="P54" s="1584"/>
      <c r="Q54" s="441"/>
    </row>
    <row r="55" spans="1:18" s="44" customFormat="1" ht="11.25" customHeight="1">
      <c r="A55" s="3159"/>
      <c r="B55" s="3160"/>
      <c r="C55" s="3160"/>
      <c r="D55" s="3160"/>
      <c r="E55" s="3160"/>
      <c r="F55" s="3160"/>
      <c r="G55" s="3160"/>
      <c r="H55" s="3160"/>
      <c r="I55" s="3160"/>
      <c r="J55" s="3160"/>
      <c r="K55" s="3160"/>
      <c r="L55" s="3160"/>
      <c r="M55" s="3160"/>
      <c r="N55" s="3160"/>
      <c r="O55" s="3160"/>
      <c r="P55" s="3161"/>
      <c r="Q55" s="461"/>
    </row>
    <row r="56" spans="1:18" ht="3" customHeight="1" thickBot="1"/>
    <row r="57" spans="1:18" s="44" customFormat="1" ht="12.6" customHeight="1" thickBot="1">
      <c r="A57" s="158" t="s">
        <v>750</v>
      </c>
      <c r="B57" s="108" t="s">
        <v>4144</v>
      </c>
      <c r="D57" s="42"/>
      <c r="I57" s="3032" t="s">
        <v>3795</v>
      </c>
      <c r="J57" s="3032"/>
      <c r="K57" s="3032"/>
      <c r="L57" s="1095"/>
      <c r="M57" s="1584">
        <v>10</v>
      </c>
      <c r="N57" s="484"/>
      <c r="O57" s="1194">
        <f>IF(OR($M60-O61&lt;0,O60-O61&lt;0),0,IF(O60&lt;=$M60,O60-O61,IF(O60&gt;$M60,$M60-O61,0)))</f>
        <v>10</v>
      </c>
      <c r="P57" s="1194">
        <f>IF(OR($M60-P61&lt;0,P60-P61&lt;0),0,IF(P60&lt;=$M60,P60-P61,IF(P60&gt;$M60,$M60-P61,0)))</f>
        <v>0</v>
      </c>
      <c r="Q57" s="112" t="s">
        <v>443</v>
      </c>
    </row>
    <row r="58" spans="1:18" s="44" customFormat="1" ht="3" customHeight="1">
      <c r="A58" s="43"/>
      <c r="D58" s="40"/>
      <c r="E58" s="37"/>
      <c r="F58" s="941"/>
      <c r="G58" s="941"/>
      <c r="H58" s="1095"/>
      <c r="I58" s="1095"/>
      <c r="J58" s="1095"/>
      <c r="K58" s="1095"/>
      <c r="L58" s="1095"/>
      <c r="M58" s="61"/>
      <c r="N58" s="941"/>
      <c r="O58" s="1587"/>
      <c r="P58" s="3"/>
    </row>
    <row r="59" spans="1:18" s="44" customFormat="1" ht="12" customHeight="1">
      <c r="A59" s="143"/>
      <c r="B59" s="56" t="s">
        <v>3884</v>
      </c>
      <c r="D59" s="34"/>
      <c r="N59" s="484"/>
      <c r="O59" s="2193" t="s">
        <v>3010</v>
      </c>
      <c r="P59" s="561"/>
    </row>
    <row r="60" spans="1:18" s="44" customFormat="1" ht="12" customHeight="1">
      <c r="A60" s="143" t="s">
        <v>1999</v>
      </c>
      <c r="B60" s="172" t="s">
        <v>1888</v>
      </c>
      <c r="C60" s="4"/>
      <c r="D60" s="4"/>
      <c r="F60" s="307"/>
      <c r="G60" s="179" t="s">
        <v>2736</v>
      </c>
      <c r="I60" s="3400" t="s">
        <v>4228</v>
      </c>
      <c r="J60" s="3400"/>
      <c r="K60" s="3400"/>
      <c r="L60" s="3400"/>
      <c r="M60" s="75">
        <v>10</v>
      </c>
      <c r="N60" s="181" t="s">
        <v>1999</v>
      </c>
      <c r="O60" s="2194">
        <v>10</v>
      </c>
      <c r="P60" s="1076"/>
      <c r="Q60" s="1090" t="str">
        <f>IF(OR($O60=$M60,$O60=0,$O60=""),"","*CHECK!*")</f>
        <v/>
      </c>
      <c r="R60" s="1244" t="s">
        <v>2724</v>
      </c>
    </row>
    <row r="61" spans="1:18" s="44" customFormat="1" ht="12.6" customHeight="1">
      <c r="A61" s="143" t="s">
        <v>2001</v>
      </c>
      <c r="B61" s="172" t="s">
        <v>3873</v>
      </c>
      <c r="D61" s="42"/>
      <c r="F61" s="407"/>
      <c r="G61" s="179" t="s">
        <v>4022</v>
      </c>
      <c r="I61" s="3400"/>
      <c r="J61" s="3400"/>
      <c r="K61" s="3400"/>
      <c r="L61" s="3400"/>
      <c r="M61" s="1589" t="s">
        <v>1250</v>
      </c>
      <c r="N61" s="484" t="s">
        <v>2001</v>
      </c>
      <c r="O61" s="2195">
        <v>0</v>
      </c>
      <c r="P61" s="1218"/>
      <c r="R61" s="1244" t="s">
        <v>2724</v>
      </c>
    </row>
    <row r="62" spans="1:18" s="44" customFormat="1" ht="11.25" customHeight="1" thickBot="1">
      <c r="A62" s="43"/>
      <c r="B62" s="1332" t="s">
        <v>3780</v>
      </c>
      <c r="C62" s="43"/>
      <c r="D62" s="49"/>
      <c r="E62" s="49"/>
      <c r="F62" s="49"/>
      <c r="G62" s="49"/>
      <c r="H62" s="37"/>
      <c r="I62" s="3428"/>
      <c r="J62" s="3428"/>
      <c r="K62" s="3428"/>
      <c r="L62" s="3428"/>
      <c r="M62" s="47"/>
      <c r="N62" s="63"/>
      <c r="O62" s="3"/>
      <c r="P62" s="1587"/>
    </row>
    <row r="63" spans="1:18" s="44" customFormat="1" ht="187.9" customHeight="1" thickTop="1" thickBot="1">
      <c r="A63" s="3455" t="s">
        <v>4682</v>
      </c>
      <c r="B63" s="3456"/>
      <c r="C63" s="3456"/>
      <c r="D63" s="3456"/>
      <c r="E63" s="3456"/>
      <c r="F63" s="3456"/>
      <c r="G63" s="3456"/>
      <c r="H63" s="3456"/>
      <c r="I63" s="3456"/>
      <c r="J63" s="3456"/>
      <c r="K63" s="3456"/>
      <c r="L63" s="3456"/>
      <c r="M63" s="3456"/>
      <c r="N63" s="3456"/>
      <c r="O63" s="3456"/>
      <c r="P63" s="3457"/>
      <c r="Q63" s="1174" t="s">
        <v>1266</v>
      </c>
      <c r="R63" s="462"/>
    </row>
    <row r="64" spans="1:18" s="44" customFormat="1" ht="11.45" customHeight="1" thickTop="1">
      <c r="A64" s="43"/>
      <c r="B64" s="69" t="s">
        <v>1880</v>
      </c>
      <c r="C64" s="43"/>
      <c r="D64" s="141"/>
      <c r="E64" s="1592"/>
      <c r="F64" s="1592"/>
      <c r="G64" s="1592"/>
      <c r="H64" s="1592"/>
      <c r="I64" s="1592"/>
      <c r="J64" s="1592"/>
      <c r="K64" s="1592"/>
      <c r="L64" s="1592"/>
      <c r="M64" s="1592"/>
      <c r="N64" s="77"/>
      <c r="O64" s="73"/>
      <c r="P64" s="1584"/>
      <c r="Q64" s="441"/>
      <c r="R64" s="441"/>
    </row>
    <row r="65" spans="1:21" s="44" customFormat="1" ht="11.25" customHeight="1">
      <c r="A65" s="3159"/>
      <c r="B65" s="3160"/>
      <c r="C65" s="3160"/>
      <c r="D65" s="3160"/>
      <c r="E65" s="3160"/>
      <c r="F65" s="3160"/>
      <c r="G65" s="3160"/>
      <c r="H65" s="3160"/>
      <c r="I65" s="3160"/>
      <c r="J65" s="3160"/>
      <c r="K65" s="3160"/>
      <c r="L65" s="3160"/>
      <c r="M65" s="3160"/>
      <c r="N65" s="3160"/>
      <c r="O65" s="3160"/>
      <c r="P65" s="3161"/>
      <c r="Q65" s="461"/>
      <c r="R65" s="462"/>
    </row>
    <row r="66" spans="1:21" ht="3.6" customHeight="1" thickBot="1">
      <c r="M66" s="34"/>
      <c r="N66" s="117"/>
      <c r="O66" s="156"/>
      <c r="P66" s="156"/>
    </row>
    <row r="67" spans="1:21" s="44" customFormat="1" ht="12.6" customHeight="1" thickBot="1">
      <c r="A67" s="158" t="s">
        <v>1805</v>
      </c>
      <c r="B67" s="108" t="s">
        <v>2648</v>
      </c>
      <c r="D67" s="42"/>
      <c r="K67" s="1089" t="s">
        <v>1894</v>
      </c>
      <c r="M67" s="1584">
        <v>6</v>
      </c>
      <c r="N67" s="484"/>
      <c r="O67" s="1194">
        <f>IF($J$68="Flexible",MIN($M67,MAX(O80,O84)),IF(AND($J$68="Rural",O89&gt;0),MIN($M89,O89),0))</f>
        <v>3</v>
      </c>
      <c r="P67" s="1194">
        <f>IF($J$68="Flexible",MIN($M67,MAX(P80,P84)),IF(AND($J$68="Rural",P89&gt;0),MIN($M89,P89),0))</f>
        <v>0</v>
      </c>
      <c r="Q67" s="112" t="s">
        <v>443</v>
      </c>
      <c r="R67" s="3091" t="s">
        <v>4134</v>
      </c>
      <c r="S67" s="3091"/>
      <c r="T67" s="3091"/>
      <c r="U67" s="3091"/>
    </row>
    <row r="68" spans="1:21" s="44" customFormat="1" ht="17.25" customHeight="1">
      <c r="A68" s="158"/>
      <c r="B68" s="113" t="s">
        <v>3994</v>
      </c>
      <c r="D68" s="42"/>
      <c r="H68" s="172" t="s">
        <v>2812</v>
      </c>
      <c r="I68" s="539"/>
      <c r="J68" s="537" t="str">
        <f>'Part I-Project Information'!$H$100</f>
        <v>Flexible</v>
      </c>
      <c r="K68" s="49"/>
      <c r="M68" s="1584"/>
      <c r="N68" s="484"/>
      <c r="O68" s="1085" t="s">
        <v>3620</v>
      </c>
      <c r="P68" s="1085" t="s">
        <v>3621</v>
      </c>
      <c r="Q68" s="112"/>
      <c r="R68" s="3091"/>
      <c r="S68" s="3091"/>
      <c r="T68" s="3091"/>
      <c r="U68" s="3091"/>
    </row>
    <row r="69" spans="1:21" s="44" customFormat="1" ht="11.25" customHeight="1">
      <c r="A69" s="158"/>
      <c r="B69" s="499" t="s">
        <v>2002</v>
      </c>
      <c r="C69" s="56" t="s">
        <v>3619</v>
      </c>
      <c r="D69" s="42"/>
      <c r="H69" s="46"/>
      <c r="I69" s="50"/>
      <c r="J69" s="49"/>
      <c r="K69" s="49"/>
      <c r="M69" s="1584"/>
      <c r="N69" s="484"/>
      <c r="O69" s="2193" t="s">
        <v>3010</v>
      </c>
      <c r="P69" s="561"/>
      <c r="Q69" s="112"/>
      <c r="R69" s="3091"/>
      <c r="S69" s="3091"/>
      <c r="T69" s="3091"/>
      <c r="U69" s="3091"/>
    </row>
    <row r="70" spans="1:21" s="44" customFormat="1" ht="11.25" customHeight="1">
      <c r="A70" s="158"/>
      <c r="B70" s="499" t="s">
        <v>2004</v>
      </c>
      <c r="C70" s="56" t="s">
        <v>3992</v>
      </c>
      <c r="D70" s="42"/>
      <c r="H70" s="46"/>
      <c r="I70" s="50"/>
      <c r="J70" s="49"/>
      <c r="K70" s="49"/>
      <c r="N70" s="484"/>
      <c r="O70" s="2196" t="s">
        <v>3010</v>
      </c>
      <c r="P70" s="562"/>
      <c r="Q70" s="112"/>
      <c r="R70" s="3091"/>
      <c r="S70" s="3091"/>
      <c r="T70" s="3091"/>
      <c r="U70" s="3091"/>
    </row>
    <row r="71" spans="1:21" s="44" customFormat="1" ht="11.25" customHeight="1">
      <c r="A71" s="158"/>
      <c r="B71" s="499" t="s">
        <v>2551</v>
      </c>
      <c r="C71" s="56" t="s">
        <v>3993</v>
      </c>
      <c r="D71" s="42"/>
      <c r="H71" s="46"/>
      <c r="I71" s="50"/>
      <c r="J71" s="49"/>
      <c r="K71" s="49"/>
      <c r="N71" s="484"/>
      <c r="O71" s="2192" t="s">
        <v>3010</v>
      </c>
      <c r="P71" s="563"/>
      <c r="Q71" s="112"/>
      <c r="R71" s="3091"/>
      <c r="S71" s="3091"/>
      <c r="T71" s="3091"/>
      <c r="U71" s="3091"/>
    </row>
    <row r="72" spans="1:21" s="44" customFormat="1" ht="3" customHeight="1">
      <c r="A72" s="158"/>
      <c r="B72" s="108"/>
      <c r="D72" s="42"/>
      <c r="H72" s="46"/>
      <c r="I72" s="50"/>
      <c r="J72" s="49"/>
      <c r="K72" s="49"/>
      <c r="M72" s="1584"/>
      <c r="N72" s="484"/>
      <c r="O72" s="3"/>
      <c r="P72" s="3"/>
      <c r="Q72" s="112"/>
      <c r="R72" s="3091"/>
      <c r="S72" s="3091"/>
      <c r="T72" s="3091"/>
      <c r="U72" s="3091"/>
    </row>
    <row r="73" spans="1:21" s="44" customFormat="1" ht="13.5" customHeight="1">
      <c r="A73" s="158"/>
      <c r="B73" s="113" t="s">
        <v>4001</v>
      </c>
      <c r="D73" s="42"/>
      <c r="F73" s="3290" t="s">
        <v>3743</v>
      </c>
      <c r="G73" s="3290"/>
      <c r="H73" s="3290"/>
      <c r="I73" s="3290"/>
      <c r="J73" s="3290" t="s">
        <v>3744</v>
      </c>
      <c r="K73" s="3290"/>
      <c r="L73" s="3290"/>
      <c r="M73" s="3290"/>
      <c r="N73" s="484"/>
      <c r="O73" s="3291" t="s">
        <v>4141</v>
      </c>
      <c r="P73" s="3292"/>
      <c r="Q73" s="112"/>
      <c r="R73" s="3091"/>
      <c r="S73" s="3091"/>
      <c r="T73" s="3091"/>
      <c r="U73" s="3091"/>
    </row>
    <row r="74" spans="1:21" s="44" customFormat="1" ht="12.75" customHeight="1">
      <c r="A74" s="158"/>
      <c r="C74" s="512" t="s">
        <v>4000</v>
      </c>
      <c r="D74" s="649"/>
      <c r="E74" s="278"/>
      <c r="F74" s="3294">
        <v>32.823365000000003</v>
      </c>
      <c r="G74" s="3295"/>
      <c r="H74" s="3296"/>
      <c r="I74" s="3297"/>
      <c r="J74" s="3294">
        <v>-83.646660999999995</v>
      </c>
      <c r="K74" s="3295"/>
      <c r="L74" s="3296"/>
      <c r="M74" s="3297"/>
      <c r="N74" s="484"/>
      <c r="Q74" s="112"/>
      <c r="R74" s="3091"/>
      <c r="S74" s="3091"/>
      <c r="T74" s="3091"/>
      <c r="U74" s="3091"/>
    </row>
    <row r="75" spans="1:21" s="44" customFormat="1" ht="12.75" customHeight="1">
      <c r="B75" s="1187"/>
      <c r="D75" s="1272" t="s">
        <v>4002</v>
      </c>
      <c r="E75" s="278"/>
      <c r="F75" s="3470">
        <v>32.823950000000004</v>
      </c>
      <c r="G75" s="3471"/>
      <c r="H75" s="3472"/>
      <c r="I75" s="3473"/>
      <c r="J75" s="3470">
        <v>-83.649144000000007</v>
      </c>
      <c r="K75" s="3471"/>
      <c r="L75" s="3472"/>
      <c r="M75" s="3473"/>
      <c r="N75" s="484"/>
      <c r="O75" s="2197">
        <v>0.2</v>
      </c>
      <c r="P75" s="1281"/>
      <c r="Q75" s="112"/>
      <c r="R75" s="3091"/>
      <c r="S75" s="3091"/>
      <c r="T75" s="3091"/>
      <c r="U75" s="3091"/>
    </row>
    <row r="76" spans="1:21" s="44" customFormat="1" ht="12.75" customHeight="1">
      <c r="A76" s="3300" t="s">
        <v>4191</v>
      </c>
      <c r="B76" s="3300"/>
      <c r="C76" s="512" t="s">
        <v>4142</v>
      </c>
      <c r="D76" s="649"/>
      <c r="E76" s="278"/>
      <c r="F76" s="3353" t="s">
        <v>979</v>
      </c>
      <c r="G76" s="3354"/>
      <c r="H76" s="3367"/>
      <c r="I76" s="3368"/>
      <c r="J76" s="3353"/>
      <c r="K76" s="3354"/>
      <c r="L76" s="3367"/>
      <c r="M76" s="3368"/>
      <c r="N76" s="484"/>
      <c r="O76" s="2198"/>
      <c r="P76" s="1280"/>
      <c r="Q76" s="112"/>
      <c r="R76" s="3091"/>
      <c r="S76" s="3091"/>
      <c r="T76" s="3091"/>
      <c r="U76" s="3091"/>
    </row>
    <row r="77" spans="1:21" s="44" customFormat="1" ht="12.75" customHeight="1">
      <c r="A77" s="3300"/>
      <c r="B77" s="3300"/>
      <c r="D77" s="1272" t="s">
        <v>4140</v>
      </c>
      <c r="E77" s="278"/>
      <c r="F77" s="3355"/>
      <c r="G77" s="3356"/>
      <c r="H77" s="3303"/>
      <c r="I77" s="3304"/>
      <c r="J77" s="3355"/>
      <c r="K77" s="3356"/>
      <c r="L77" s="3303"/>
      <c r="M77" s="3304"/>
      <c r="N77" s="484"/>
      <c r="O77" s="2199"/>
      <c r="P77" s="1279"/>
      <c r="Q77" s="112"/>
      <c r="R77" s="3091"/>
      <c r="S77" s="3091"/>
      <c r="T77" s="3091"/>
      <c r="U77" s="3091"/>
    </row>
    <row r="78" spans="1:21" s="44" customFormat="1" ht="3" customHeight="1">
      <c r="A78" s="158"/>
      <c r="B78" s="108"/>
      <c r="D78" s="42"/>
      <c r="H78" s="46"/>
      <c r="I78" s="50"/>
      <c r="J78" s="49"/>
      <c r="K78" s="49"/>
      <c r="M78" s="1584"/>
      <c r="N78" s="484"/>
      <c r="O78" s="3"/>
      <c r="P78" s="3"/>
      <c r="Q78" s="112"/>
      <c r="R78" s="1219"/>
      <c r="S78" s="1219"/>
      <c r="T78" s="1219"/>
      <c r="U78" s="1219"/>
    </row>
    <row r="79" spans="1:21" s="44" customFormat="1" ht="12.6" customHeight="1">
      <c r="A79" s="538" t="s">
        <v>2803</v>
      </c>
      <c r="B79" s="108"/>
      <c r="D79" s="42"/>
      <c r="F79" s="62" t="s">
        <v>3781</v>
      </c>
      <c r="M79" s="1584"/>
      <c r="N79" s="1584"/>
      <c r="O79" s="1584"/>
      <c r="P79" s="1584"/>
      <c r="Q79" s="112"/>
      <c r="R79" s="1219"/>
      <c r="S79" s="1219"/>
      <c r="T79" s="1219"/>
      <c r="U79" s="1219"/>
    </row>
    <row r="80" spans="1:21" s="44" customFormat="1" ht="12.6" customHeight="1">
      <c r="A80" s="148" t="s">
        <v>1999</v>
      </c>
      <c r="B80" s="172" t="s">
        <v>3773</v>
      </c>
      <c r="D80" s="42"/>
      <c r="F80" s="46" t="s">
        <v>3886</v>
      </c>
      <c r="I80" s="3293" t="s">
        <v>4138</v>
      </c>
      <c r="J80" s="3293"/>
      <c r="K80" s="3293"/>
      <c r="L80" s="3293"/>
      <c r="M80" s="1584">
        <v>6</v>
      </c>
      <c r="N80" s="404" t="s">
        <v>1999</v>
      </c>
      <c r="O80" s="1088">
        <f>IF($J$68="Flexible",MIN($M80,O81+O82+O83),0)</f>
        <v>0</v>
      </c>
      <c r="P80" s="1088">
        <f>IF($J$68="Flexible",MIN($M80,P81+P82+P83),0)</f>
        <v>0</v>
      </c>
      <c r="Q80" s="112"/>
    </row>
    <row r="81" spans="1:18" s="427" customFormat="1" ht="23.25" customHeight="1">
      <c r="B81" s="456" t="s">
        <v>2002</v>
      </c>
      <c r="C81" s="3271" t="s">
        <v>3995</v>
      </c>
      <c r="D81" s="3271"/>
      <c r="E81" s="3271"/>
      <c r="F81" s="3271"/>
      <c r="G81" s="3271"/>
      <c r="H81" s="3271"/>
      <c r="I81" s="3293"/>
      <c r="J81" s="3293"/>
      <c r="K81" s="3293"/>
      <c r="L81" s="3293"/>
      <c r="M81" s="534">
        <v>5</v>
      </c>
      <c r="N81" s="499" t="s">
        <v>2002</v>
      </c>
      <c r="O81" s="2200"/>
      <c r="P81" s="913"/>
      <c r="Q81" s="1090" t="str">
        <f>IF(OR($O81=$M81,$O81=0,$O81=""),"","*CHECK!*")</f>
        <v/>
      </c>
      <c r="R81" s="1244" t="s">
        <v>2724</v>
      </c>
    </row>
    <row r="82" spans="1:18" s="427" customFormat="1" ht="12" customHeight="1">
      <c r="A82" s="619" t="s">
        <v>1365</v>
      </c>
      <c r="B82" s="456" t="s">
        <v>2004</v>
      </c>
      <c r="C82" s="405" t="s">
        <v>3996</v>
      </c>
      <c r="D82" s="405"/>
      <c r="E82" s="405"/>
      <c r="F82" s="405"/>
      <c r="G82" s="405"/>
      <c r="H82" s="405"/>
      <c r="I82" s="3293"/>
      <c r="J82" s="3293"/>
      <c r="K82" s="3293"/>
      <c r="L82" s="3293"/>
      <c r="M82" s="534">
        <v>4</v>
      </c>
      <c r="N82" s="499" t="s">
        <v>2004</v>
      </c>
      <c r="O82" s="2194"/>
      <c r="P82" s="1076"/>
      <c r="Q82" s="1090" t="str">
        <f t="shared" ref="Q82:Q83" si="0">IF(OR($O82=$M82,$O82=0,$O82=""),"","*CHECK!*")</f>
        <v/>
      </c>
      <c r="R82" s="1244" t="s">
        <v>2724</v>
      </c>
    </row>
    <row r="83" spans="1:18" s="427" customFormat="1" ht="12" customHeight="1">
      <c r="B83" s="456" t="s">
        <v>2551</v>
      </c>
      <c r="C83" s="405" t="s">
        <v>3774</v>
      </c>
      <c r="D83" s="405"/>
      <c r="E83" s="405"/>
      <c r="F83" s="405"/>
      <c r="G83" s="484" t="s">
        <v>4139</v>
      </c>
      <c r="H83" s="1278" t="str">
        <f>'Part I-Project Information'!$H$78</f>
        <v>Family</v>
      </c>
      <c r="I83" s="3343" t="s">
        <v>4683</v>
      </c>
      <c r="J83" s="3344"/>
      <c r="K83" s="3344"/>
      <c r="L83" s="3347" t="s">
        <v>4685</v>
      </c>
      <c r="M83" s="534">
        <v>1</v>
      </c>
      <c r="N83" s="499" t="s">
        <v>2551</v>
      </c>
      <c r="O83" s="2195"/>
      <c r="P83" s="1218"/>
      <c r="Q83" s="1090" t="str">
        <f t="shared" si="0"/>
        <v/>
      </c>
      <c r="R83" s="1244" t="s">
        <v>2724</v>
      </c>
    </row>
    <row r="84" spans="1:18" s="427" customFormat="1" ht="12" customHeight="1">
      <c r="A84" s="148" t="s">
        <v>2001</v>
      </c>
      <c r="B84" s="1243" t="s">
        <v>3775</v>
      </c>
      <c r="C84" s="677"/>
      <c r="D84" s="677"/>
      <c r="E84" s="677"/>
      <c r="F84" s="1213" t="s">
        <v>3885</v>
      </c>
      <c r="I84" s="3345"/>
      <c r="J84" s="3346"/>
      <c r="K84" s="3346"/>
      <c r="L84" s="3348"/>
      <c r="M84" s="1034">
        <v>3</v>
      </c>
      <c r="N84" s="166" t="s">
        <v>2001</v>
      </c>
      <c r="O84" s="1088">
        <f>IF($J$68="Flexible",MIN($M84,O85+O86+O87),0)</f>
        <v>3</v>
      </c>
      <c r="P84" s="1088">
        <f>IF($J$68="Flexible",MIN($M84,P85+P86+P87),0)</f>
        <v>0</v>
      </c>
      <c r="Q84" s="535"/>
      <c r="R84" s="403"/>
    </row>
    <row r="85" spans="1:18" s="427" customFormat="1" ht="12" customHeight="1">
      <c r="A85" s="143"/>
      <c r="B85" s="456" t="s">
        <v>2002</v>
      </c>
      <c r="C85" s="3351" t="s">
        <v>3997</v>
      </c>
      <c r="D85" s="3351"/>
      <c r="E85" s="3351"/>
      <c r="F85" s="3351"/>
      <c r="G85" s="3351"/>
      <c r="H85" s="3352"/>
      <c r="I85" s="3315" t="s">
        <v>4684</v>
      </c>
      <c r="J85" s="3316"/>
      <c r="K85" s="3316"/>
      <c r="L85" s="3317"/>
      <c r="M85" s="534">
        <v>3</v>
      </c>
      <c r="N85" s="499" t="s">
        <v>2002</v>
      </c>
      <c r="O85" s="2200">
        <v>3</v>
      </c>
      <c r="P85" s="913"/>
      <c r="Q85" s="1090" t="str">
        <f>IF(OR($O85=$M85,$O85=0,$O85=""),"","*CHECK!*")</f>
        <v/>
      </c>
      <c r="R85" s="1244" t="s">
        <v>2724</v>
      </c>
    </row>
    <row r="86" spans="1:18" s="44" customFormat="1" ht="12" customHeight="1">
      <c r="A86" s="1214" t="s">
        <v>1365</v>
      </c>
      <c r="B86" s="456" t="s">
        <v>2004</v>
      </c>
      <c r="C86" s="3351" t="s">
        <v>3998</v>
      </c>
      <c r="D86" s="3351"/>
      <c r="E86" s="3351"/>
      <c r="F86" s="3351"/>
      <c r="G86" s="3351"/>
      <c r="H86" s="3352"/>
      <c r="I86" s="3357"/>
      <c r="J86" s="3358"/>
      <c r="K86" s="3358"/>
      <c r="L86" s="3359"/>
      <c r="M86" s="534">
        <v>2</v>
      </c>
      <c r="N86" s="499" t="s">
        <v>2004</v>
      </c>
      <c r="O86" s="2194"/>
      <c r="P86" s="1076"/>
      <c r="Q86" s="1090" t="str">
        <f t="shared" ref="Q86:Q87" si="1">IF(OR($O86=$M86,$O86=0,$O86=""),"","*CHECK!*")</f>
        <v/>
      </c>
      <c r="R86" s="1244" t="s">
        <v>2724</v>
      </c>
    </row>
    <row r="87" spans="1:18" s="44" customFormat="1" ht="14.25" customHeight="1">
      <c r="A87" s="1214" t="s">
        <v>1365</v>
      </c>
      <c r="B87" s="456" t="s">
        <v>2551</v>
      </c>
      <c r="C87" s="3271" t="s">
        <v>3999</v>
      </c>
      <c r="D87" s="3271"/>
      <c r="E87" s="3271"/>
      <c r="F87" s="3271"/>
      <c r="G87" s="3271"/>
      <c r="H87" s="3281"/>
      <c r="I87" s="3315" t="s">
        <v>3622</v>
      </c>
      <c r="J87" s="3316"/>
      <c r="K87" s="3316"/>
      <c r="L87" s="3317"/>
      <c r="M87" s="534">
        <v>1</v>
      </c>
      <c r="N87" s="499" t="s">
        <v>2551</v>
      </c>
      <c r="O87" s="2195"/>
      <c r="P87" s="1218"/>
      <c r="Q87" s="1090" t="str">
        <f t="shared" si="1"/>
        <v/>
      </c>
      <c r="R87" s="1244" t="s">
        <v>2724</v>
      </c>
    </row>
    <row r="88" spans="1:18" s="44" customFormat="1" ht="12.6" customHeight="1">
      <c r="A88" s="538" t="s">
        <v>2805</v>
      </c>
      <c r="B88" s="172"/>
      <c r="E88" s="42"/>
      <c r="I88" s="3318"/>
      <c r="J88" s="3319"/>
      <c r="K88" s="3319"/>
      <c r="L88" s="3320"/>
      <c r="M88" s="75"/>
      <c r="N88" s="75"/>
      <c r="O88" s="75"/>
      <c r="P88" s="75"/>
      <c r="Q88" s="391"/>
      <c r="R88" s="391"/>
    </row>
    <row r="89" spans="1:18" s="105" customFormat="1" ht="12" customHeight="1">
      <c r="A89" s="143"/>
      <c r="B89" s="456" t="s">
        <v>1236</v>
      </c>
      <c r="C89" s="172" t="s">
        <v>3623</v>
      </c>
      <c r="D89" s="172"/>
      <c r="E89" s="172"/>
      <c r="F89" s="172"/>
      <c r="G89" s="172"/>
      <c r="H89" s="172"/>
      <c r="I89" s="172"/>
      <c r="J89" s="172"/>
      <c r="K89" s="172"/>
      <c r="L89" s="172"/>
      <c r="M89" s="75">
        <v>2</v>
      </c>
      <c r="N89" s="499" t="s">
        <v>1236</v>
      </c>
      <c r="O89" s="2201"/>
      <c r="P89" s="911"/>
      <c r="Q89" s="1090" t="str">
        <f>IF(OR($O89=$M89,$O89=0,$O89=""),"","*CHECK!*")</f>
        <v/>
      </c>
      <c r="R89" s="1244" t="s">
        <v>2724</v>
      </c>
    </row>
    <row r="90" spans="1:18" s="44" customFormat="1" ht="12.6" customHeight="1">
      <c r="A90" s="37" t="s">
        <v>4143</v>
      </c>
      <c r="B90" s="172"/>
      <c r="E90" s="42"/>
      <c r="K90" s="49"/>
      <c r="M90" s="75"/>
      <c r="N90" s="75"/>
      <c r="O90" s="75"/>
      <c r="P90" s="75"/>
      <c r="Q90" s="391"/>
      <c r="R90" s="391"/>
    </row>
    <row r="91" spans="1:18" s="105" customFormat="1" ht="11.45" customHeight="1">
      <c r="A91" s="43"/>
      <c r="B91" s="100" t="s">
        <v>1880</v>
      </c>
      <c r="C91" s="43"/>
      <c r="D91" s="100"/>
      <c r="E91" s="1594"/>
      <c r="F91" s="1594"/>
      <c r="G91" s="1594"/>
      <c r="H91" s="1594"/>
      <c r="I91" s="1594"/>
      <c r="J91" s="1594"/>
      <c r="K91" s="1594"/>
      <c r="L91" s="1594"/>
      <c r="M91" s="1594"/>
      <c r="N91" s="96"/>
      <c r="O91" s="925"/>
      <c r="P91" s="1584"/>
      <c r="Q91" s="441"/>
    </row>
    <row r="92" spans="1:18" s="44" customFormat="1" ht="11.25" customHeight="1">
      <c r="A92" s="3159"/>
      <c r="B92" s="3160"/>
      <c r="C92" s="3160"/>
      <c r="D92" s="3160"/>
      <c r="E92" s="3160"/>
      <c r="F92" s="3160"/>
      <c r="G92" s="3160"/>
      <c r="H92" s="3160"/>
      <c r="I92" s="3160"/>
      <c r="J92" s="3160"/>
      <c r="K92" s="3160"/>
      <c r="L92" s="3160"/>
      <c r="M92" s="3160"/>
      <c r="N92" s="3160"/>
      <c r="O92" s="3160"/>
      <c r="P92" s="3161"/>
      <c r="Q92" s="461"/>
    </row>
    <row r="93" spans="1:18" ht="3" customHeight="1" thickBot="1">
      <c r="B93" s="120"/>
      <c r="C93" s="120"/>
      <c r="D93" s="120"/>
      <c r="E93" s="120"/>
      <c r="R93" s="44"/>
    </row>
    <row r="94" spans="1:18" s="44" customFormat="1" ht="13.5" customHeight="1" thickBot="1">
      <c r="A94" s="158" t="s">
        <v>1807</v>
      </c>
      <c r="B94" s="109" t="s">
        <v>219</v>
      </c>
      <c r="D94" s="40"/>
      <c r="E94" s="37"/>
      <c r="G94" s="1216"/>
      <c r="H94" s="1217"/>
      <c r="I94" s="1217"/>
      <c r="J94" s="1217"/>
      <c r="K94" s="1217"/>
      <c r="L94" s="1217"/>
      <c r="M94" s="1584">
        <v>3</v>
      </c>
      <c r="N94" s="410"/>
      <c r="O94" s="1194">
        <f>IF(SUM(O102:O105)&gt;$M$94,"???",SUM(O102:O105))</f>
        <v>2</v>
      </c>
      <c r="P94" s="1194">
        <f>IF(SUM(P102:P105)&gt;$M$94,"???",SUM(P102:P105))</f>
        <v>0</v>
      </c>
      <c r="Q94" s="112" t="s">
        <v>443</v>
      </c>
    </row>
    <row r="95" spans="1:18" s="44" customFormat="1" ht="13.5" customHeight="1">
      <c r="B95" s="3311" t="s">
        <v>4007</v>
      </c>
      <c r="C95" s="3311"/>
      <c r="D95" s="3311"/>
      <c r="E95" s="3311"/>
      <c r="F95" s="3311"/>
      <c r="G95" s="3311"/>
      <c r="H95" s="3311"/>
      <c r="O95" s="3365" t="str">
        <f>IF(OR(AND(P102&gt;0,P103&gt;0),AND(P103&gt;0,P104&gt;0),AND(P102&gt;0,P104&gt;0)),"Choose A, B, or C.  See instructions.",IF(AND(P104&gt;0,P105&gt;0),"Choose A or B when choosing D.  See instructions.",""))</f>
        <v/>
      </c>
      <c r="P95" s="3365"/>
      <c r="Q95" s="112"/>
    </row>
    <row r="96" spans="1:18" s="1190" customFormat="1" ht="12.6" customHeight="1">
      <c r="B96" s="3311"/>
      <c r="C96" s="3311"/>
      <c r="D96" s="3311"/>
      <c r="E96" s="3311"/>
      <c r="F96" s="3311"/>
      <c r="G96" s="3311"/>
      <c r="H96" s="3311"/>
      <c r="I96" s="3312" t="s">
        <v>3796</v>
      </c>
      <c r="J96" s="3313"/>
      <c r="K96" s="3313"/>
      <c r="L96" s="3314"/>
      <c r="O96" s="3366"/>
      <c r="P96" s="3366"/>
    </row>
    <row r="97" spans="1:18" s="44" customFormat="1" ht="13.5" customHeight="1">
      <c r="B97" s="172" t="s">
        <v>2812</v>
      </c>
      <c r="G97" s="42"/>
      <c r="H97" s="42"/>
      <c r="I97" s="1215" t="str">
        <f>'Part I-Project Information'!$H$100</f>
        <v>Flexible</v>
      </c>
      <c r="K97" s="28"/>
      <c r="M97" s="1584"/>
      <c r="N97" s="410"/>
      <c r="O97" s="3366"/>
      <c r="P97" s="3366"/>
    </row>
    <row r="98" spans="1:18" s="44" customFormat="1" ht="13.5" customHeight="1">
      <c r="B98" s="172" t="s">
        <v>4004</v>
      </c>
      <c r="G98" s="42"/>
      <c r="H98" s="42"/>
      <c r="I98" s="654"/>
      <c r="K98" s="28"/>
      <c r="M98" s="1584"/>
      <c r="N98" s="410"/>
      <c r="O98" s="3366"/>
      <c r="P98" s="3366"/>
    </row>
    <row r="99" spans="1:18" s="1190" customFormat="1" ht="13.5" customHeight="1">
      <c r="C99" s="1186" t="s">
        <v>4009</v>
      </c>
      <c r="I99" s="2202">
        <v>100</v>
      </c>
      <c r="J99" s="555"/>
      <c r="K99" s="403"/>
      <c r="O99" s="3366"/>
      <c r="P99" s="3366"/>
    </row>
    <row r="100" spans="1:18" s="1190" customFormat="1" ht="13.5" customHeight="1">
      <c r="C100" s="1186" t="s">
        <v>4010</v>
      </c>
      <c r="I100" s="2203">
        <v>116</v>
      </c>
      <c r="J100" s="557"/>
      <c r="K100" s="403"/>
      <c r="O100" s="3363" t="s">
        <v>4018</v>
      </c>
      <c r="P100" s="3363"/>
    </row>
    <row r="101" spans="1:18" s="44" customFormat="1" ht="5.25" customHeight="1">
      <c r="A101" s="158"/>
      <c r="B101" s="89"/>
      <c r="G101" s="42"/>
      <c r="H101" s="42"/>
      <c r="I101" s="654"/>
      <c r="K101" s="28"/>
      <c r="M101" s="1584"/>
      <c r="N101" s="1584"/>
      <c r="O101" s="1584"/>
      <c r="P101" s="1584"/>
      <c r="Q101" s="112"/>
    </row>
    <row r="102" spans="1:18" ht="11.45" customHeight="1">
      <c r="A102" s="143" t="s">
        <v>1999</v>
      </c>
      <c r="B102" s="184" t="s">
        <v>3901</v>
      </c>
      <c r="D102" s="34"/>
      <c r="K102" s="3364" t="str">
        <f>IF(OR(AND(O102&gt;0,O103&gt;0),AND(O103&gt;0,O104&gt;0),AND(O102&gt;0,O104&gt;0)),"Choose A, B, or C.  See instructions.",IF(AND(O104&gt;0,O105&gt;0),"Choose A or B when choosing D.  See instructions.",""))</f>
        <v/>
      </c>
      <c r="L102" s="3364"/>
      <c r="M102" s="534">
        <v>2</v>
      </c>
      <c r="N102" s="484" t="s">
        <v>1999</v>
      </c>
      <c r="O102" s="2200"/>
      <c r="P102" s="913"/>
      <c r="Q102" s="1090" t="str">
        <f>IF(OR($O102=$M102,$O102=0,$O102=""),"","*CHECK!*")</f>
        <v/>
      </c>
      <c r="R102" s="1244" t="s">
        <v>2724</v>
      </c>
    </row>
    <row r="103" spans="1:18" ht="11.45" customHeight="1">
      <c r="A103" s="143" t="s">
        <v>2001</v>
      </c>
      <c r="B103" s="184" t="s">
        <v>312</v>
      </c>
      <c r="D103" s="34"/>
      <c r="E103" s="34"/>
      <c r="K103" s="3364"/>
      <c r="L103" s="3364"/>
      <c r="M103" s="534">
        <v>1</v>
      </c>
      <c r="N103" s="484" t="s">
        <v>2001</v>
      </c>
      <c r="O103" s="2194">
        <v>1</v>
      </c>
      <c r="P103" s="1076"/>
      <c r="Q103" s="1090" t="str">
        <f t="shared" ref="Q103:Q105" si="2">IF(OR($O103=$M103,$O103=0,$O103=""),"","*CHECK!*")</f>
        <v/>
      </c>
      <c r="R103" s="1244" t="s">
        <v>2724</v>
      </c>
    </row>
    <row r="104" spans="1:18" ht="11.45" customHeight="1">
      <c r="A104" s="143" t="s">
        <v>757</v>
      </c>
      <c r="B104" s="184" t="s">
        <v>3902</v>
      </c>
      <c r="D104" s="34"/>
      <c r="E104" s="34"/>
      <c r="F104" s="34"/>
      <c r="K104" s="3364"/>
      <c r="L104" s="3364"/>
      <c r="M104" s="534">
        <v>3</v>
      </c>
      <c r="N104" s="484" t="s">
        <v>757</v>
      </c>
      <c r="O104" s="2194"/>
      <c r="P104" s="1076"/>
      <c r="Q104" s="1090" t="str">
        <f t="shared" si="2"/>
        <v/>
      </c>
      <c r="R104" s="1244" t="s">
        <v>2724</v>
      </c>
    </row>
    <row r="105" spans="1:18" ht="11.45" customHeight="1">
      <c r="A105" s="143" t="s">
        <v>2131</v>
      </c>
      <c r="B105" s="184" t="s">
        <v>3804</v>
      </c>
      <c r="D105" s="34"/>
      <c r="E105" s="34"/>
      <c r="F105" s="139" t="s">
        <v>4019</v>
      </c>
      <c r="J105" s="2204">
        <v>1</v>
      </c>
      <c r="K105" s="3364"/>
      <c r="L105" s="3364"/>
      <c r="M105" s="534">
        <v>1</v>
      </c>
      <c r="N105" s="484" t="s">
        <v>2131</v>
      </c>
      <c r="O105" s="2195">
        <v>1</v>
      </c>
      <c r="P105" s="1218"/>
      <c r="Q105" s="1090" t="str">
        <f t="shared" si="2"/>
        <v/>
      </c>
      <c r="R105" s="1244" t="s">
        <v>2724</v>
      </c>
    </row>
    <row r="106" spans="1:18" s="105" customFormat="1" ht="11.45" customHeight="1" thickBot="1">
      <c r="A106" s="43"/>
      <c r="B106" s="1332" t="s">
        <v>3780</v>
      </c>
      <c r="C106" s="43"/>
      <c r="D106" s="49"/>
      <c r="E106" s="49"/>
      <c r="F106" s="49"/>
      <c r="G106" s="49"/>
      <c r="K106" s="37"/>
      <c r="M106" s="47"/>
      <c r="N106" s="6"/>
      <c r="O106" s="3"/>
      <c r="P106" s="1584"/>
    </row>
    <row r="107" spans="1:18" s="44" customFormat="1" ht="55.9" customHeight="1" thickTop="1" thickBot="1">
      <c r="A107" s="3360" t="s">
        <v>4686</v>
      </c>
      <c r="B107" s="3361"/>
      <c r="C107" s="3361"/>
      <c r="D107" s="3361"/>
      <c r="E107" s="3361"/>
      <c r="F107" s="3361"/>
      <c r="G107" s="3361"/>
      <c r="H107" s="3361"/>
      <c r="I107" s="3361"/>
      <c r="J107" s="3361"/>
      <c r="K107" s="3361"/>
      <c r="L107" s="3361"/>
      <c r="M107" s="3361"/>
      <c r="N107" s="3361"/>
      <c r="O107" s="3361"/>
      <c r="P107" s="3362"/>
      <c r="Q107" s="1174" t="s">
        <v>1266</v>
      </c>
    </row>
    <row r="108" spans="1:18" s="44" customFormat="1" ht="11.25" customHeight="1" thickTop="1">
      <c r="B108" s="100" t="s">
        <v>1880</v>
      </c>
      <c r="C108" s="43"/>
      <c r="D108" s="88"/>
      <c r="E108" s="1592"/>
      <c r="F108" s="1592"/>
      <c r="G108" s="1592"/>
      <c r="H108" s="1592"/>
      <c r="I108" s="1592"/>
      <c r="J108" s="1592"/>
      <c r="K108" s="1592"/>
      <c r="L108" s="1592"/>
      <c r="M108" s="1592"/>
      <c r="N108" s="77"/>
      <c r="O108" s="73"/>
      <c r="P108" s="1584"/>
      <c r="Q108" s="441"/>
    </row>
    <row r="109" spans="1:18" s="44" customFormat="1" ht="11.25" customHeight="1">
      <c r="A109" s="3308"/>
      <c r="B109" s="3309"/>
      <c r="C109" s="3309"/>
      <c r="D109" s="3309"/>
      <c r="E109" s="3309"/>
      <c r="F109" s="3309"/>
      <c r="G109" s="3309"/>
      <c r="H109" s="3309"/>
      <c r="I109" s="3309"/>
      <c r="J109" s="3309"/>
      <c r="K109" s="3309"/>
      <c r="L109" s="3309"/>
      <c r="M109" s="3309"/>
      <c r="N109" s="3309"/>
      <c r="O109" s="3309"/>
      <c r="P109" s="3310"/>
      <c r="Q109" s="461"/>
    </row>
    <row r="110" spans="1:18" s="44" customFormat="1" ht="3" customHeight="1" thickBot="1">
      <c r="A110" s="43"/>
      <c r="D110" s="40"/>
      <c r="E110" s="37"/>
      <c r="F110" s="941"/>
      <c r="G110" s="941"/>
      <c r="H110" s="941"/>
      <c r="I110" s="941"/>
      <c r="J110" s="956"/>
      <c r="K110" s="956"/>
      <c r="L110" s="956"/>
      <c r="M110" s="61"/>
      <c r="N110" s="941"/>
      <c r="O110" s="1587"/>
      <c r="P110" s="3"/>
    </row>
    <row r="111" spans="1:18" s="44" customFormat="1" ht="12.75" customHeight="1" thickBot="1">
      <c r="A111" s="158" t="s">
        <v>535</v>
      </c>
      <c r="B111" s="109" t="s">
        <v>4020</v>
      </c>
      <c r="D111" s="40"/>
      <c r="E111" s="37"/>
      <c r="F111" s="941"/>
      <c r="G111" s="941"/>
      <c r="H111" s="941"/>
      <c r="I111" s="62" t="s">
        <v>3781</v>
      </c>
      <c r="J111" s="956"/>
      <c r="K111" s="956"/>
      <c r="L111" s="956"/>
      <c r="M111" s="1584">
        <v>3</v>
      </c>
      <c r="N111" s="941"/>
      <c r="O111" s="1194">
        <f>MIN($M$115,O113+O115)</f>
        <v>3</v>
      </c>
      <c r="P111" s="1194">
        <f>MIN($M$115,P113+P115)</f>
        <v>0</v>
      </c>
      <c r="Q111" s="112" t="s">
        <v>443</v>
      </c>
    </row>
    <row r="112" spans="1:18" s="44" customFormat="1" ht="1.5" customHeight="1" thickBot="1">
      <c r="A112" s="43"/>
      <c r="D112" s="40"/>
      <c r="E112" s="37"/>
      <c r="F112" s="941"/>
      <c r="G112" s="941"/>
      <c r="H112" s="941"/>
      <c r="I112" s="941"/>
      <c r="J112" s="956"/>
      <c r="K112" s="956"/>
      <c r="L112" s="956"/>
      <c r="M112" s="61"/>
      <c r="N112" s="941"/>
      <c r="O112" s="1587"/>
      <c r="P112" s="3"/>
    </row>
    <row r="113" spans="1:20" s="44" customFormat="1" ht="12" customHeight="1" thickBot="1">
      <c r="A113" s="185" t="s">
        <v>1999</v>
      </c>
      <c r="B113" s="921" t="s">
        <v>4021</v>
      </c>
      <c r="C113" s="95"/>
      <c r="D113" s="119"/>
      <c r="E113" s="430" t="s">
        <v>4146</v>
      </c>
      <c r="G113" s="116"/>
      <c r="I113" s="484" t="s">
        <v>4139</v>
      </c>
      <c r="J113" s="1278" t="str">
        <f>'Part I-Project Information'!$H$78</f>
        <v>Family</v>
      </c>
      <c r="K113" s="42"/>
      <c r="L113" s="391" t="str">
        <f>IF(OR($O113=$M113,$O113=0,$O113=""),"","* * Check Score! * *")</f>
        <v/>
      </c>
      <c r="M113" s="75">
        <v>3</v>
      </c>
      <c r="N113" s="484" t="s">
        <v>1999</v>
      </c>
      <c r="O113" s="2205">
        <v>3</v>
      </c>
      <c r="P113" s="1231"/>
      <c r="Q113" s="1090" t="str">
        <f>IF(OR($O113=$M113,$O113=0,$O113=""),"","*CHECK!*")</f>
        <v/>
      </c>
      <c r="R113" s="1244" t="s">
        <v>2724</v>
      </c>
    </row>
    <row r="114" spans="1:20" s="44" customFormat="1" ht="1.5" customHeight="1">
      <c r="A114" s="43"/>
      <c r="D114" s="40"/>
      <c r="E114" s="37"/>
      <c r="F114" s="941"/>
      <c r="G114" s="941"/>
      <c r="H114" s="941"/>
      <c r="I114" s="941"/>
      <c r="J114" s="956"/>
      <c r="K114" s="956"/>
      <c r="L114" s="956"/>
      <c r="M114" s="61"/>
      <c r="N114" s="941"/>
      <c r="O114" s="1587"/>
      <c r="P114" s="3"/>
    </row>
    <row r="115" spans="1:20" s="44" customFormat="1" ht="12" customHeight="1">
      <c r="A115" s="185" t="s">
        <v>2001</v>
      </c>
      <c r="B115" s="921" t="s">
        <v>4023</v>
      </c>
      <c r="C115" s="95"/>
      <c r="D115" s="1191"/>
      <c r="E115" s="1430" t="s">
        <v>4254</v>
      </c>
      <c r="G115" s="116"/>
      <c r="I115" s="1350"/>
      <c r="J115" s="42"/>
      <c r="L115" s="391" t="str">
        <f>IF(OR($O115&lt;=$M115,$O115=0,$O115=""),"","* * Check Score! * *")</f>
        <v/>
      </c>
      <c r="M115" s="1040">
        <v>3</v>
      </c>
      <c r="N115" s="484" t="s">
        <v>2001</v>
      </c>
      <c r="O115" s="66">
        <f>MIN($M$115,O119+O137)</f>
        <v>0</v>
      </c>
      <c r="P115" s="66">
        <f>MIN($M$115,P119+P137)</f>
        <v>0</v>
      </c>
      <c r="Q115" s="1169"/>
      <c r="R115" s="1169"/>
      <c r="S115" s="1169"/>
      <c r="T115" s="1169"/>
    </row>
    <row r="116" spans="1:20" s="37" customFormat="1" ht="10.5" customHeight="1">
      <c r="A116" s="65"/>
      <c r="B116" s="954" t="s">
        <v>4176</v>
      </c>
      <c r="C116" s="956"/>
      <c r="D116" s="1352"/>
      <c r="E116" s="1352"/>
      <c r="F116" s="1352"/>
      <c r="H116" s="2206" t="s">
        <v>1784</v>
      </c>
      <c r="I116" s="1352"/>
      <c r="J116" s="1352"/>
      <c r="K116" s="1352"/>
      <c r="L116" s="1352"/>
      <c r="M116" s="1593"/>
      <c r="N116" s="181"/>
      <c r="Q116" s="1169"/>
      <c r="R116" s="1169"/>
      <c r="S116" s="1169"/>
      <c r="T116" s="1169"/>
    </row>
    <row r="117" spans="1:20" s="37" customFormat="1" ht="10.5" customHeight="1">
      <c r="A117" s="65"/>
      <c r="C117" s="1291" t="s">
        <v>4177</v>
      </c>
      <c r="D117" s="3336"/>
      <c r="E117" s="3337"/>
      <c r="F117" s="3337"/>
      <c r="G117" s="3337"/>
      <c r="H117" s="3337"/>
      <c r="I117" s="3337"/>
      <c r="J117" s="3337"/>
      <c r="K117" s="3337"/>
      <c r="L117" s="3337"/>
      <c r="M117" s="3337"/>
      <c r="N117" s="3337"/>
      <c r="O117" s="3337"/>
      <c r="P117" s="3338"/>
      <c r="Q117" s="1169"/>
      <c r="R117" s="1169"/>
      <c r="S117" s="1169"/>
      <c r="T117" s="1169"/>
    </row>
    <row r="118" spans="1:20" s="44" customFormat="1" ht="3" customHeight="1" thickBot="1">
      <c r="A118" s="43"/>
      <c r="D118" s="40"/>
      <c r="E118" s="37"/>
      <c r="F118" s="941"/>
      <c r="H118" s="941"/>
      <c r="I118" s="941"/>
      <c r="J118" s="956"/>
      <c r="K118" s="956"/>
      <c r="L118" s="956"/>
      <c r="M118" s="61"/>
      <c r="N118" s="941"/>
      <c r="O118" s="1587"/>
      <c r="P118" s="3"/>
      <c r="Q118" s="1169"/>
      <c r="R118" s="1169"/>
      <c r="S118" s="1169"/>
      <c r="T118" s="1169"/>
    </row>
    <row r="119" spans="1:20" s="105" customFormat="1" ht="11.25" customHeight="1" thickBot="1">
      <c r="A119" s="185"/>
      <c r="B119" s="942" t="s">
        <v>2002</v>
      </c>
      <c r="C119" s="172" t="s">
        <v>4024</v>
      </c>
      <c r="D119" s="95"/>
      <c r="F119" s="53"/>
      <c r="G119" s="53"/>
      <c r="H119" s="95"/>
      <c r="I119" s="95"/>
      <c r="J119" s="95"/>
      <c r="K119" s="95"/>
      <c r="L119" s="391" t="str">
        <f>IF(OR($O119=$M119,$O119=0,$O119=""),"","* * Check Score! * *")</f>
        <v/>
      </c>
      <c r="M119" s="1123">
        <v>2</v>
      </c>
      <c r="N119" s="1189" t="s">
        <v>2002</v>
      </c>
      <c r="O119" s="2205"/>
      <c r="P119" s="1231"/>
      <c r="Q119" s="1090" t="str">
        <f>IF(OR($O119=$M119,$O119=0,$O119=""),"","*CHECK!*")</f>
        <v/>
      </c>
      <c r="R119" s="1244" t="s">
        <v>2724</v>
      </c>
      <c r="S119" s="1169"/>
      <c r="T119" s="1169"/>
    </row>
    <row r="120" spans="1:20" s="105" customFormat="1" ht="10.5" customHeight="1">
      <c r="A120" s="185"/>
      <c r="B120" s="942"/>
      <c r="C120" s="53" t="s">
        <v>4025</v>
      </c>
      <c r="D120" s="95"/>
      <c r="E120" s="53"/>
      <c r="F120" s="53"/>
      <c r="G120" s="53"/>
      <c r="H120" s="95"/>
      <c r="I120" s="95"/>
      <c r="J120" s="95"/>
      <c r="K120" s="95"/>
      <c r="L120" s="95"/>
      <c r="M120" s="1123"/>
      <c r="N120" s="1123"/>
      <c r="O120" s="2207"/>
      <c r="P120" s="566"/>
      <c r="Q120" s="1169"/>
      <c r="R120" s="1169"/>
      <c r="S120" s="1169"/>
      <c r="T120" s="1169"/>
    </row>
    <row r="121" spans="1:20" s="105" customFormat="1" ht="10.5" customHeight="1">
      <c r="A121" s="185"/>
      <c r="B121" s="942"/>
      <c r="C121" s="53" t="s">
        <v>4026</v>
      </c>
      <c r="D121" s="179" t="s">
        <v>4147</v>
      </c>
      <c r="F121" s="53"/>
      <c r="G121" s="53"/>
      <c r="H121" s="3305"/>
      <c r="I121" s="3305"/>
      <c r="J121" s="3305"/>
      <c r="K121" s="3305"/>
      <c r="L121" s="3305"/>
      <c r="M121" s="3305"/>
      <c r="N121" s="3305"/>
      <c r="O121" s="3305"/>
      <c r="P121" s="3305"/>
      <c r="Q121" s="1169"/>
      <c r="R121" s="1169"/>
      <c r="S121" s="1169"/>
      <c r="T121" s="1169"/>
    </row>
    <row r="122" spans="1:20" s="105" customFormat="1" ht="10.5" customHeight="1">
      <c r="A122" s="185"/>
      <c r="B122" s="53"/>
      <c r="C122" s="37" t="s">
        <v>4028</v>
      </c>
      <c r="D122" s="95"/>
      <c r="E122" s="53"/>
      <c r="F122" s="53"/>
      <c r="G122" s="53"/>
      <c r="H122" s="95"/>
      <c r="I122" s="95"/>
      <c r="J122" s="95"/>
      <c r="K122" s="95"/>
      <c r="L122" s="95"/>
      <c r="M122" s="445"/>
      <c r="N122" s="1102" t="s">
        <v>3809</v>
      </c>
      <c r="O122" s="2208"/>
      <c r="P122" s="1005"/>
      <c r="Q122" s="1169"/>
      <c r="R122" s="1169"/>
      <c r="S122" s="1169"/>
      <c r="T122" s="1169"/>
    </row>
    <row r="123" spans="1:20" s="37" customFormat="1" ht="10.5" customHeight="1">
      <c r="A123" s="65"/>
      <c r="B123" s="389"/>
      <c r="C123" s="37" t="s">
        <v>4029</v>
      </c>
      <c r="D123" s="53"/>
      <c r="E123" s="53"/>
      <c r="F123" s="53"/>
      <c r="G123" s="53"/>
      <c r="H123" s="53"/>
      <c r="I123" s="53"/>
      <c r="J123" s="53"/>
      <c r="K123" s="53"/>
      <c r="L123" s="53"/>
      <c r="M123" s="1593"/>
      <c r="N123" s="401" t="s">
        <v>3810</v>
      </c>
      <c r="O123" s="2192"/>
      <c r="P123" s="563"/>
      <c r="Q123" s="1169"/>
      <c r="R123" s="1169"/>
      <c r="S123" s="1169"/>
      <c r="T123" s="1169"/>
    </row>
    <row r="124" spans="1:20" s="56" customFormat="1" ht="10.5" customHeight="1">
      <c r="A124" s="65"/>
      <c r="C124" s="56" t="s">
        <v>4174</v>
      </c>
      <c r="D124" s="430"/>
      <c r="E124" s="53"/>
      <c r="F124" s="53"/>
      <c r="G124" s="53"/>
      <c r="H124" s="430"/>
      <c r="J124" s="430"/>
      <c r="L124" s="3279" t="s">
        <v>3846</v>
      </c>
      <c r="M124" s="3279"/>
      <c r="N124" s="3279"/>
      <c r="O124" s="3307" t="s">
        <v>3845</v>
      </c>
      <c r="P124" s="3307"/>
      <c r="Q124" s="53"/>
    </row>
    <row r="125" spans="1:20" s="56" customFormat="1" ht="10.5" customHeight="1">
      <c r="A125" s="65"/>
      <c r="B125" s="390"/>
      <c r="C125" s="3372"/>
      <c r="D125" s="3373"/>
      <c r="E125" s="3373"/>
      <c r="F125" s="3373"/>
      <c r="G125" s="3373"/>
      <c r="H125" s="3373"/>
      <c r="I125" s="3373"/>
      <c r="J125" s="3373"/>
      <c r="K125" s="3374"/>
      <c r="L125" s="3474" t="s">
        <v>3727</v>
      </c>
      <c r="M125" s="3474"/>
      <c r="N125" s="3474"/>
      <c r="O125" s="3475"/>
      <c r="P125" s="3475"/>
      <c r="Q125" s="1207" t="str">
        <f>IF(O125&gt;15, "Too much!","")</f>
        <v/>
      </c>
    </row>
    <row r="126" spans="1:20" s="56" customFormat="1" ht="10.5" customHeight="1">
      <c r="A126" s="65"/>
      <c r="B126" s="402"/>
      <c r="C126" s="3340"/>
      <c r="D126" s="3341"/>
      <c r="E126" s="3341"/>
      <c r="F126" s="3341"/>
      <c r="G126" s="3341"/>
      <c r="H126" s="3341"/>
      <c r="I126" s="3341"/>
      <c r="J126" s="3341"/>
      <c r="K126" s="3342"/>
      <c r="L126" s="3566" t="s">
        <v>3727</v>
      </c>
      <c r="M126" s="3566"/>
      <c r="N126" s="3566"/>
      <c r="O126" s="3577"/>
      <c r="P126" s="3577"/>
      <c r="Q126" s="1207" t="str">
        <f t="shared" ref="Q126:Q128" si="3">IF(O126&gt;15, "Too much!","")</f>
        <v/>
      </c>
    </row>
    <row r="127" spans="1:20" s="56" customFormat="1" ht="10.5" customHeight="1">
      <c r="A127" s="65"/>
      <c r="B127" s="390"/>
      <c r="C127" s="3340"/>
      <c r="D127" s="3341"/>
      <c r="E127" s="3341"/>
      <c r="F127" s="3341"/>
      <c r="G127" s="3341"/>
      <c r="H127" s="3341"/>
      <c r="I127" s="3341"/>
      <c r="J127" s="3341"/>
      <c r="K127" s="3342"/>
      <c r="L127" s="3566" t="s">
        <v>3727</v>
      </c>
      <c r="M127" s="3566"/>
      <c r="N127" s="3566"/>
      <c r="O127" s="3577"/>
      <c r="P127" s="3577"/>
      <c r="Q127" s="1207" t="str">
        <f t="shared" si="3"/>
        <v/>
      </c>
    </row>
    <row r="128" spans="1:20" s="56" customFormat="1" ht="10.5" customHeight="1">
      <c r="A128" s="65"/>
      <c r="B128" s="401"/>
      <c r="C128" s="3369"/>
      <c r="D128" s="3370"/>
      <c r="E128" s="3370"/>
      <c r="F128" s="3370"/>
      <c r="G128" s="3370"/>
      <c r="H128" s="3370"/>
      <c r="I128" s="3370"/>
      <c r="J128" s="3370"/>
      <c r="K128" s="3371"/>
      <c r="L128" s="3581" t="s">
        <v>3727</v>
      </c>
      <c r="M128" s="3581"/>
      <c r="N128" s="3581"/>
      <c r="O128" s="3582"/>
      <c r="P128" s="3582"/>
      <c r="Q128" s="1207" t="str">
        <f t="shared" si="3"/>
        <v/>
      </c>
    </row>
    <row r="129" spans="1:21" s="105" customFormat="1" ht="10.5" customHeight="1">
      <c r="B129" s="942"/>
      <c r="C129" s="53" t="s">
        <v>4027</v>
      </c>
      <c r="D129" s="37" t="s">
        <v>4030</v>
      </c>
      <c r="E129" s="53"/>
      <c r="F129" s="53"/>
      <c r="G129" s="53"/>
      <c r="H129" s="95"/>
      <c r="I129" s="95"/>
      <c r="J129" s="95"/>
      <c r="K129" s="95"/>
      <c r="L129" s="95"/>
      <c r="M129" s="95"/>
      <c r="N129" s="1102" t="s">
        <v>3809</v>
      </c>
      <c r="O129" s="2193"/>
      <c r="P129" s="561"/>
      <c r="Q129" s="517"/>
      <c r="R129" s="56"/>
      <c r="S129" s="56"/>
      <c r="T129" s="56"/>
      <c r="U129" s="56"/>
    </row>
    <row r="130" spans="1:21" s="105" customFormat="1" ht="10.5" customHeight="1">
      <c r="A130" s="185"/>
      <c r="B130" s="53"/>
      <c r="D130" s="37" t="s">
        <v>4031</v>
      </c>
      <c r="E130" s="53"/>
      <c r="F130" s="53"/>
      <c r="G130" s="53"/>
      <c r="H130" s="95"/>
      <c r="I130" s="95"/>
      <c r="J130" s="95"/>
      <c r="K130" s="95"/>
      <c r="L130" s="95"/>
      <c r="M130" s="445"/>
      <c r="N130" s="401" t="s">
        <v>3810</v>
      </c>
      <c r="O130" s="2192"/>
      <c r="P130" s="563"/>
      <c r="Q130" s="517"/>
      <c r="R130" s="56"/>
      <c r="S130" s="56"/>
      <c r="T130" s="56"/>
      <c r="U130" s="56"/>
    </row>
    <row r="131" spans="1:21" s="37" customFormat="1" ht="10.5" customHeight="1">
      <c r="A131" s="65"/>
      <c r="B131" s="389"/>
      <c r="D131" s="56" t="s">
        <v>4179</v>
      </c>
      <c r="E131" s="53"/>
      <c r="F131" s="53"/>
      <c r="G131" s="53"/>
      <c r="H131" s="53"/>
      <c r="I131" s="53"/>
      <c r="J131" s="53"/>
      <c r="K131" s="53"/>
      <c r="L131" s="53"/>
      <c r="M131" s="1593"/>
      <c r="Q131" s="53"/>
      <c r="R131" s="56"/>
      <c r="S131" s="56"/>
      <c r="T131" s="56"/>
      <c r="U131" s="56"/>
    </row>
    <row r="132" spans="1:21" s="56" customFormat="1" ht="10.5" customHeight="1">
      <c r="A132" s="65"/>
      <c r="B132" s="65"/>
      <c r="C132" s="956" t="s">
        <v>4208</v>
      </c>
      <c r="D132" s="65"/>
      <c r="E132" s="65"/>
      <c r="F132" s="65"/>
      <c r="G132" s="2193"/>
      <c r="H132" s="561"/>
      <c r="I132" s="956" t="s">
        <v>4211</v>
      </c>
      <c r="L132" s="65"/>
      <c r="M132" s="65"/>
      <c r="N132" s="65"/>
      <c r="O132" s="2193"/>
      <c r="P132" s="561"/>
      <c r="Q132" s="53"/>
    </row>
    <row r="133" spans="1:21" s="56" customFormat="1" ht="10.5" customHeight="1">
      <c r="A133" s="65"/>
      <c r="B133" s="65"/>
      <c r="C133" s="956" t="s">
        <v>4541</v>
      </c>
      <c r="D133" s="65"/>
      <c r="E133" s="65"/>
      <c r="F133" s="65"/>
      <c r="G133" s="2196"/>
      <c r="H133" s="562"/>
      <c r="I133" s="53" t="s">
        <v>4212</v>
      </c>
      <c r="L133" s="65"/>
      <c r="M133" s="65"/>
      <c r="N133" s="65"/>
      <c r="O133" s="2196"/>
      <c r="P133" s="562"/>
      <c r="Q133" s="53"/>
    </row>
    <row r="134" spans="1:21" s="56" customFormat="1" ht="10.5" customHeight="1">
      <c r="A134" s="65"/>
      <c r="B134" s="65"/>
      <c r="C134" s="956" t="s">
        <v>4210</v>
      </c>
      <c r="D134" s="65"/>
      <c r="E134" s="65"/>
      <c r="F134" s="65"/>
      <c r="G134" s="2196"/>
      <c r="H134" s="562"/>
      <c r="I134" s="956" t="s">
        <v>4213</v>
      </c>
      <c r="L134" s="65"/>
      <c r="M134" s="65"/>
      <c r="N134" s="65"/>
      <c r="O134" s="2196"/>
      <c r="P134" s="562"/>
      <c r="Q134" s="53"/>
    </row>
    <row r="135" spans="1:21" s="56" customFormat="1" ht="10.5" customHeight="1">
      <c r="A135" s="65"/>
      <c r="B135" s="65"/>
      <c r="C135" s="3578" t="s">
        <v>4214</v>
      </c>
      <c r="D135" s="3579"/>
      <c r="E135" s="3579"/>
      <c r="F135" s="3580"/>
      <c r="G135" s="2192"/>
      <c r="H135" s="1292"/>
      <c r="I135" s="3578" t="s">
        <v>4215</v>
      </c>
      <c r="J135" s="3579"/>
      <c r="K135" s="3579"/>
      <c r="L135" s="3579"/>
      <c r="M135" s="3579"/>
      <c r="N135" s="3580"/>
      <c r="O135" s="2192"/>
      <c r="P135" s="563"/>
      <c r="Q135" s="53"/>
    </row>
    <row r="136" spans="1:21" s="427" customFormat="1" ht="1.5" customHeight="1" thickBot="1">
      <c r="A136" s="625"/>
      <c r="B136" s="924"/>
      <c r="C136" s="1351"/>
      <c r="D136" s="1351"/>
      <c r="E136" s="1351"/>
      <c r="F136" s="1351"/>
      <c r="G136" s="1351"/>
      <c r="H136" s="1351"/>
      <c r="I136" s="1351"/>
      <c r="J136" s="1351"/>
      <c r="K136" s="1351"/>
      <c r="L136" s="1351"/>
      <c r="M136" s="548"/>
      <c r="N136" s="549"/>
      <c r="O136" s="549"/>
      <c r="P136" s="549"/>
      <c r="Q136" s="1033"/>
    </row>
    <row r="137" spans="1:21" s="427" customFormat="1" ht="11.25" customHeight="1" thickBot="1">
      <c r="A137" s="625"/>
      <c r="B137" s="621" t="s">
        <v>2004</v>
      </c>
      <c r="C137" s="1131" t="s">
        <v>3847</v>
      </c>
      <c r="D137" s="144"/>
      <c r="F137" s="144"/>
      <c r="G137" s="144"/>
      <c r="H137" s="144"/>
      <c r="I137" s="144"/>
      <c r="J137" s="144"/>
      <c r="K137" s="144"/>
      <c r="L137" s="391" t="str">
        <f>IF(OR($O137=$M137,$O137=0,$O137=""),"","* * Check Score! * *")</f>
        <v/>
      </c>
      <c r="M137" s="628">
        <v>1</v>
      </c>
      <c r="N137" s="1189" t="s">
        <v>2004</v>
      </c>
      <c r="O137" s="2205"/>
      <c r="P137" s="1231"/>
      <c r="Q137" s="1090" t="str">
        <f>IF(OR($O137=$M137,$O137=0,$O137=""),"","*CHECK!*")</f>
        <v/>
      </c>
      <c r="R137" s="1244" t="s">
        <v>2724</v>
      </c>
      <c r="S137" s="1169"/>
      <c r="T137" s="1169"/>
      <c r="U137" s="1169"/>
    </row>
    <row r="138" spans="1:21" s="37" customFormat="1" ht="10.5" customHeight="1">
      <c r="A138" s="65"/>
      <c r="C138" s="53" t="s">
        <v>4032</v>
      </c>
      <c r="D138" s="1352"/>
      <c r="E138" s="1352"/>
      <c r="F138" s="1352"/>
      <c r="G138" s="1352"/>
      <c r="H138" s="1352"/>
      <c r="I138" s="1352"/>
      <c r="J138" s="1352"/>
      <c r="K138" s="1352"/>
      <c r="L138" s="1352"/>
      <c r="M138" s="1593"/>
      <c r="N138" s="53"/>
      <c r="O138" s="2207"/>
      <c r="P138" s="566"/>
      <c r="Q138" s="53"/>
      <c r="R138" s="1169"/>
      <c r="S138" s="1169"/>
      <c r="T138" s="1169"/>
      <c r="U138" s="1169"/>
    </row>
    <row r="139" spans="1:21" s="37" customFormat="1" ht="10.5" customHeight="1">
      <c r="A139" s="65"/>
      <c r="B139" s="942"/>
      <c r="C139" s="53" t="s">
        <v>4033</v>
      </c>
      <c r="D139" s="1352"/>
      <c r="E139" s="1352"/>
      <c r="F139" s="1352"/>
      <c r="G139" s="956" t="s">
        <v>4034</v>
      </c>
      <c r="I139" s="1352"/>
      <c r="J139" s="1352"/>
      <c r="K139" s="1352"/>
      <c r="L139" s="1352"/>
      <c r="M139" s="67" t="s">
        <v>2451</v>
      </c>
      <c r="N139" s="401" t="s">
        <v>3809</v>
      </c>
      <c r="O139" s="2208"/>
      <c r="P139" s="1005"/>
      <c r="Q139" s="53"/>
      <c r="R139" s="1169"/>
      <c r="S139" s="1169"/>
      <c r="T139" s="1169"/>
      <c r="U139" s="1169"/>
    </row>
    <row r="140" spans="1:21" s="37" customFormat="1" ht="10.5" customHeight="1">
      <c r="A140" s="65"/>
      <c r="B140" s="389"/>
      <c r="D140" s="1352"/>
      <c r="E140" s="1352"/>
      <c r="F140" s="1352"/>
      <c r="G140" s="956" t="s">
        <v>4035</v>
      </c>
      <c r="I140" s="1352"/>
      <c r="J140" s="1352"/>
      <c r="K140" s="1352"/>
      <c r="L140" s="1352"/>
      <c r="M140" s="1593"/>
      <c r="N140" s="1102" t="s">
        <v>3810</v>
      </c>
      <c r="O140" s="2196"/>
      <c r="P140" s="562"/>
      <c r="Q140" s="53"/>
      <c r="R140" s="1169"/>
      <c r="S140" s="1169"/>
      <c r="T140" s="1169"/>
      <c r="U140" s="1169"/>
    </row>
    <row r="141" spans="1:21" s="37" customFormat="1" ht="10.5" customHeight="1">
      <c r="A141" s="67"/>
      <c r="B141" s="389"/>
      <c r="D141" s="1352"/>
      <c r="E141" s="1352"/>
      <c r="F141" s="1352"/>
      <c r="G141" s="956" t="s">
        <v>4036</v>
      </c>
      <c r="I141" s="1352"/>
      <c r="J141" s="1352"/>
      <c r="K141" s="1352"/>
      <c r="L141" s="1352"/>
      <c r="M141" s="1593"/>
      <c r="N141" s="401" t="s">
        <v>3811</v>
      </c>
      <c r="O141" s="2196"/>
      <c r="P141" s="562"/>
      <c r="Q141" s="53"/>
      <c r="R141" s="1169"/>
      <c r="S141" s="1169"/>
      <c r="T141" s="1169"/>
      <c r="U141" s="1169"/>
    </row>
    <row r="142" spans="1:21" s="37" customFormat="1" ht="10.5" customHeight="1">
      <c r="A142" s="65"/>
      <c r="B142" s="389"/>
      <c r="D142" s="1352"/>
      <c r="E142" s="1352"/>
      <c r="F142" s="1352"/>
      <c r="G142" s="956" t="s">
        <v>4037</v>
      </c>
      <c r="I142" s="1352"/>
      <c r="J142" s="1352"/>
      <c r="K142" s="1352"/>
      <c r="L142" s="1352"/>
      <c r="M142" s="1593"/>
      <c r="N142" s="401" t="s">
        <v>3813</v>
      </c>
      <c r="O142" s="2196"/>
      <c r="P142" s="562"/>
      <c r="Q142" s="53"/>
      <c r="R142" s="1169"/>
      <c r="S142" s="1169"/>
      <c r="T142" s="1169"/>
      <c r="U142" s="1169"/>
    </row>
    <row r="143" spans="1:21" s="37" customFormat="1" ht="10.5" customHeight="1">
      <c r="A143" s="65"/>
      <c r="B143" s="389"/>
      <c r="D143" s="1352"/>
      <c r="E143" s="1352"/>
      <c r="F143" s="1352"/>
      <c r="G143" s="956" t="s">
        <v>4038</v>
      </c>
      <c r="I143" s="1352"/>
      <c r="J143" s="1352"/>
      <c r="K143" s="1352"/>
      <c r="L143" s="1352"/>
      <c r="M143" s="1593"/>
      <c r="N143" s="1102" t="s">
        <v>3814</v>
      </c>
      <c r="O143" s="2192"/>
      <c r="P143" s="563"/>
      <c r="Q143" s="53"/>
    </row>
    <row r="144" spans="1:21" s="37" customFormat="1" ht="10.5" customHeight="1">
      <c r="A144" s="65"/>
      <c r="B144" s="942"/>
      <c r="C144" s="956" t="s">
        <v>4178</v>
      </c>
      <c r="D144" s="1352"/>
      <c r="E144" s="1352"/>
      <c r="F144" s="1352"/>
      <c r="G144" s="1352"/>
      <c r="H144" s="1352"/>
      <c r="I144" s="1352"/>
      <c r="J144" s="1352"/>
      <c r="K144" s="1352"/>
      <c r="L144" s="1352"/>
      <c r="M144" s="67"/>
      <c r="N144" s="67" t="s">
        <v>2452</v>
      </c>
      <c r="O144" s="2209"/>
      <c r="P144" s="560"/>
      <c r="Q144" s="53"/>
    </row>
    <row r="145" spans="1:18" s="56" customFormat="1" ht="10.5" customHeight="1">
      <c r="A145" s="65"/>
      <c r="B145" s="456"/>
      <c r="C145" s="56" t="s">
        <v>3862</v>
      </c>
      <c r="D145" s="430"/>
      <c r="E145" s="53"/>
      <c r="F145" s="53"/>
      <c r="G145" s="56" t="s">
        <v>4180</v>
      </c>
      <c r="H145" s="430"/>
      <c r="M145" s="59"/>
      <c r="N145" s="59"/>
      <c r="O145" s="59"/>
      <c r="P145" s="59"/>
      <c r="Q145" s="53"/>
    </row>
    <row r="146" spans="1:18" s="56" customFormat="1" ht="10.5" customHeight="1">
      <c r="A146" s="65"/>
      <c r="B146" s="390"/>
      <c r="C146" s="3372"/>
      <c r="D146" s="3373"/>
      <c r="E146" s="3373"/>
      <c r="F146" s="3374"/>
      <c r="G146" s="3372"/>
      <c r="H146" s="3373"/>
      <c r="I146" s="3373"/>
      <c r="J146" s="3373"/>
      <c r="K146" s="3373"/>
      <c r="L146" s="3373"/>
      <c r="M146" s="3373"/>
      <c r="N146" s="3373"/>
      <c r="O146" s="3373"/>
      <c r="P146" s="3374"/>
      <c r="Q146" s="53"/>
    </row>
    <row r="147" spans="1:18" s="56" customFormat="1" ht="10.5" customHeight="1">
      <c r="A147" s="65"/>
      <c r="B147" s="402"/>
      <c r="C147" s="3340"/>
      <c r="D147" s="3341"/>
      <c r="E147" s="3341"/>
      <c r="F147" s="3342"/>
      <c r="G147" s="3340"/>
      <c r="H147" s="3341"/>
      <c r="I147" s="3341"/>
      <c r="J147" s="3341"/>
      <c r="K147" s="3341"/>
      <c r="L147" s="3341"/>
      <c r="M147" s="3341"/>
      <c r="N147" s="3341"/>
      <c r="O147" s="3341"/>
      <c r="P147" s="3342"/>
      <c r="Q147" s="53"/>
    </row>
    <row r="148" spans="1:18" s="56" customFormat="1" ht="10.5" customHeight="1">
      <c r="A148" s="3349" t="s">
        <v>4216</v>
      </c>
      <c r="B148" s="3349"/>
      <c r="C148" s="3340"/>
      <c r="D148" s="3341"/>
      <c r="E148" s="3341"/>
      <c r="F148" s="3342"/>
      <c r="G148" s="3340"/>
      <c r="H148" s="3341"/>
      <c r="I148" s="3341"/>
      <c r="J148" s="3341"/>
      <c r="K148" s="3341"/>
      <c r="L148" s="3341"/>
      <c r="M148" s="3341"/>
      <c r="N148" s="3341"/>
      <c r="O148" s="3341"/>
      <c r="P148" s="3342"/>
      <c r="Q148" s="53"/>
    </row>
    <row r="149" spans="1:18" s="56" customFormat="1" ht="10.5" customHeight="1">
      <c r="A149" s="3349"/>
      <c r="B149" s="3349"/>
      <c r="C149" s="3369"/>
      <c r="D149" s="3370"/>
      <c r="E149" s="3370"/>
      <c r="F149" s="3371"/>
      <c r="G149" s="3369"/>
      <c r="H149" s="3370"/>
      <c r="I149" s="3370"/>
      <c r="J149" s="3370"/>
      <c r="K149" s="3370"/>
      <c r="L149" s="3370"/>
      <c r="M149" s="3370"/>
      <c r="N149" s="3370"/>
      <c r="O149" s="3370"/>
      <c r="P149" s="3371"/>
      <c r="Q149" s="53"/>
    </row>
    <row r="150" spans="1:18" s="44" customFormat="1" ht="4.5" customHeight="1">
      <c r="A150" s="3350"/>
      <c r="B150" s="3350"/>
      <c r="C150" s="101"/>
      <c r="D150" s="88"/>
      <c r="E150" s="102"/>
      <c r="F150" s="1592"/>
      <c r="G150" s="1592"/>
      <c r="H150" s="1592"/>
      <c r="I150" s="1592"/>
      <c r="J150" s="1592"/>
      <c r="K150" s="1592"/>
      <c r="L150" s="1592"/>
      <c r="M150" s="1592"/>
      <c r="N150" s="77"/>
      <c r="O150" s="73"/>
      <c r="P150" s="1584"/>
      <c r="Q150" s="441"/>
    </row>
    <row r="151" spans="1:18" s="44" customFormat="1" ht="11.25" customHeight="1">
      <c r="A151" s="3159"/>
      <c r="B151" s="3160"/>
      <c r="C151" s="3160"/>
      <c r="D151" s="3160"/>
      <c r="E151" s="3160"/>
      <c r="F151" s="3160"/>
      <c r="G151" s="3160"/>
      <c r="H151" s="3160"/>
      <c r="I151" s="3160"/>
      <c r="J151" s="3160"/>
      <c r="K151" s="3160"/>
      <c r="L151" s="3160"/>
      <c r="M151" s="3160"/>
      <c r="N151" s="3160"/>
      <c r="O151" s="3160"/>
      <c r="P151" s="3161"/>
      <c r="Q151" s="461"/>
    </row>
    <row r="152" spans="1:18" s="44" customFormat="1" ht="3" customHeight="1" thickBot="1">
      <c r="A152" s="43"/>
      <c r="C152" s="1592"/>
      <c r="D152" s="1592"/>
      <c r="E152" s="1592"/>
      <c r="F152" s="1592"/>
      <c r="G152" s="1592"/>
      <c r="H152" s="1592"/>
      <c r="I152" s="1592"/>
      <c r="J152" s="1592"/>
      <c r="K152" s="1592"/>
      <c r="L152" s="1592"/>
      <c r="M152" s="1592"/>
      <c r="N152" s="77"/>
      <c r="O152" s="73"/>
      <c r="P152" s="941"/>
    </row>
    <row r="153" spans="1:18" s="44" customFormat="1" ht="13.5" customHeight="1" thickBot="1">
      <c r="A153" s="158" t="s">
        <v>780</v>
      </c>
      <c r="B153" s="109" t="s">
        <v>4003</v>
      </c>
      <c r="C153" s="1592"/>
      <c r="D153" s="1592"/>
      <c r="E153" s="1592"/>
      <c r="F153" s="1592"/>
      <c r="G153" s="1592"/>
      <c r="H153" s="1592"/>
      <c r="I153" s="1592"/>
      <c r="J153" s="1592"/>
      <c r="K153" s="1592"/>
      <c r="L153" s="1592"/>
      <c r="M153" s="941">
        <v>5</v>
      </c>
      <c r="N153" s="77"/>
      <c r="O153" s="1194">
        <f>O155+O171</f>
        <v>2</v>
      </c>
      <c r="P153" s="1194">
        <f>P155+P171</f>
        <v>0</v>
      </c>
      <c r="Q153" s="112" t="s">
        <v>443</v>
      </c>
    </row>
    <row r="154" spans="1:18" s="44" customFormat="1" ht="9" customHeight="1">
      <c r="A154" s="43"/>
      <c r="C154" s="1592"/>
      <c r="D154" s="1592"/>
      <c r="E154" s="1592"/>
      <c r="F154" s="1592"/>
      <c r="G154" s="1592"/>
      <c r="H154" s="1592"/>
      <c r="I154" s="1592"/>
      <c r="J154" s="1592"/>
      <c r="K154" s="1592"/>
      <c r="L154" s="1592"/>
      <c r="M154" s="1592"/>
      <c r="N154" s="77"/>
      <c r="O154" s="73"/>
      <c r="P154" s="941"/>
    </row>
    <row r="155" spans="1:18" s="105" customFormat="1" ht="13.5" customHeight="1">
      <c r="A155" s="185" t="s">
        <v>1999</v>
      </c>
      <c r="B155" s="10" t="s">
        <v>4042</v>
      </c>
      <c r="C155" s="95"/>
      <c r="D155" s="1191"/>
      <c r="E155" s="1191"/>
      <c r="G155" s="1220"/>
      <c r="H155" s="1220"/>
      <c r="I155" s="1220"/>
      <c r="J155" s="1220"/>
      <c r="K155" s="1220"/>
      <c r="L155" s="1220"/>
      <c r="M155" s="445">
        <v>3</v>
      </c>
      <c r="N155" s="181"/>
      <c r="O155" s="1223">
        <f>IF('Part VI-Revenues &amp; Expenses'!$O$62=0,0,IF(AND($F$160="Family",O163="Yes",O164="Yes",O165="Yes"),3,IF(AND(O163="Yes",O164="Yes",O165="Yes"),2,IF(OR(O163="Yes",O164="Yes",O165="Yes"),1,0))))</f>
        <v>0</v>
      </c>
      <c r="P155" s="1223">
        <f>IF('Part VI-Revenues &amp; Expenses'!$O$62=0,0,IF(AND($F$160="Family",P167="Yes",P168="Yes",P169="Yes"),3,IF(AND(P167="Yes",P168="Yes",P169="Yes"),2,IF(OR(P167="Yes",P168="Yes",P169="Yes"),1,0))))</f>
        <v>0</v>
      </c>
      <c r="R155" s="179"/>
    </row>
    <row r="156" spans="1:18" s="44" customFormat="1" ht="12" customHeight="1">
      <c r="B156" s="41" t="s">
        <v>3856</v>
      </c>
      <c r="C156" s="443"/>
      <c r="D156" s="443"/>
      <c r="E156" s="443"/>
      <c r="F156" s="443"/>
      <c r="G156" s="443"/>
      <c r="H156" s="443"/>
      <c r="I156" s="443"/>
      <c r="J156" s="443"/>
      <c r="K156" s="443"/>
      <c r="L156" s="443"/>
      <c r="M156" s="443"/>
      <c r="N156" s="443"/>
      <c r="O156" s="2210"/>
      <c r="P156" s="559"/>
      <c r="R156" s="391"/>
    </row>
    <row r="157" spans="1:18" s="44" customFormat="1" ht="6" customHeight="1">
      <c r="A157" s="143"/>
      <c r="B157" s="554"/>
      <c r="C157" s="554"/>
      <c r="D157" s="554"/>
      <c r="E157" s="554"/>
      <c r="F157" s="554"/>
      <c r="G157" s="554"/>
      <c r="H157" s="554"/>
      <c r="I157" s="554"/>
      <c r="J157" s="554"/>
      <c r="K157" s="554"/>
      <c r="L157" s="554"/>
      <c r="M157" s="554"/>
      <c r="O157" s="1315"/>
      <c r="P157" s="1315"/>
      <c r="R157" s="391"/>
    </row>
    <row r="158" spans="1:18" s="44" customFormat="1" ht="11.25" customHeight="1">
      <c r="A158" s="143"/>
      <c r="B158" s="3306" t="s">
        <v>4218</v>
      </c>
      <c r="C158" s="3306"/>
      <c r="D158" s="3306"/>
      <c r="E158" s="53" t="s">
        <v>3853</v>
      </c>
      <c r="F158" s="105"/>
      <c r="G158" s="53"/>
      <c r="H158" s="105"/>
      <c r="I158" s="3336"/>
      <c r="J158" s="3337"/>
      <c r="K158" s="3337"/>
      <c r="L158" s="3338"/>
    </row>
    <row r="159" spans="1:18" s="44" customFormat="1" ht="11.25" customHeight="1">
      <c r="A159" s="143"/>
      <c r="B159" s="3306"/>
      <c r="C159" s="3306"/>
      <c r="D159" s="3306"/>
      <c r="E159" s="41" t="s">
        <v>3855</v>
      </c>
      <c r="F159" s="391"/>
      <c r="G159" s="105"/>
      <c r="H159" s="105"/>
      <c r="I159" s="41"/>
      <c r="J159" s="1602"/>
      <c r="K159" s="1602"/>
      <c r="L159" s="1602"/>
      <c r="M159" s="105"/>
      <c r="N159" s="1222"/>
      <c r="O159" s="2210"/>
      <c r="P159" s="559"/>
      <c r="Q159" s="138"/>
    </row>
    <row r="160" spans="1:18" s="44" customFormat="1" ht="12" customHeight="1">
      <c r="A160" s="43"/>
      <c r="C160" s="1592"/>
      <c r="D160" s="1592"/>
      <c r="E160" s="53" t="s">
        <v>2923</v>
      </c>
      <c r="F160" s="3339" t="str">
        <f>'Part I-Project Information'!$H$78</f>
        <v>Family</v>
      </c>
      <c r="G160" s="3339"/>
      <c r="I160" s="1592"/>
      <c r="J160" s="1592"/>
      <c r="K160" s="1592"/>
      <c r="L160" s="1592"/>
      <c r="M160" s="1592"/>
      <c r="N160" s="77"/>
      <c r="O160" s="73"/>
      <c r="P160" s="941"/>
    </row>
    <row r="161" spans="1:24" s="44" customFormat="1" ht="13.5" customHeight="1">
      <c r="A161" s="143"/>
      <c r="B161" s="579"/>
      <c r="C161" s="578"/>
      <c r="D161" s="578"/>
      <c r="E161" s="1354"/>
      <c r="H161" s="3332" t="s">
        <v>3851</v>
      </c>
      <c r="I161" s="3467" t="s">
        <v>3896</v>
      </c>
      <c r="J161" s="3468"/>
      <c r="K161" s="3468"/>
      <c r="L161" s="3469"/>
      <c r="M161" s="3334" t="s">
        <v>3850</v>
      </c>
      <c r="N161" s="3334"/>
      <c r="O161" s="3334" t="s">
        <v>3854</v>
      </c>
      <c r="P161" s="3334"/>
      <c r="Q161" s="138"/>
    </row>
    <row r="162" spans="1:24" s="44" customFormat="1" ht="13.5" customHeight="1">
      <c r="A162" s="143"/>
      <c r="B162" s="584" t="s">
        <v>3848</v>
      </c>
      <c r="C162" s="1602"/>
      <c r="D162" s="3335" t="s">
        <v>3852</v>
      </c>
      <c r="E162" s="3335"/>
      <c r="F162" s="3335"/>
      <c r="G162" s="1599" t="s">
        <v>3419</v>
      </c>
      <c r="H162" s="3333"/>
      <c r="I162" s="544">
        <v>2014</v>
      </c>
      <c r="J162" s="544">
        <v>2015</v>
      </c>
      <c r="K162" s="544">
        <v>2016</v>
      </c>
      <c r="L162" s="544">
        <v>2017</v>
      </c>
      <c r="M162" s="3334"/>
      <c r="N162" s="3334"/>
      <c r="O162" s="3334"/>
      <c r="P162" s="3334"/>
      <c r="Q162" s="3388" t="s">
        <v>3849</v>
      </c>
      <c r="R162" s="3388"/>
    </row>
    <row r="163" spans="1:24" s="44" customFormat="1" ht="13.5" customHeight="1">
      <c r="A163" s="390" t="s">
        <v>2451</v>
      </c>
      <c r="B163" s="626" t="s">
        <v>4041</v>
      </c>
      <c r="D163" s="3507"/>
      <c r="E163" s="3508"/>
      <c r="F163" s="3509"/>
      <c r="G163" s="2211"/>
      <c r="H163" s="2212"/>
      <c r="I163" s="2213"/>
      <c r="J163" s="2214"/>
      <c r="K163" s="2214"/>
      <c r="L163" s="2215"/>
      <c r="M163" s="3330" t="str">
        <f>IF(I163+J163+K163+L163=0,"",AVERAGE(I163,J163,K163,L163))</f>
        <v/>
      </c>
      <c r="N163" s="3331"/>
      <c r="O163" s="662" t="str">
        <f>IF(M163="","",IF(M163&gt;Q163,"Yes",IF(M163&lt;Q163,"No","")))</f>
        <v/>
      </c>
      <c r="Q163" s="3502">
        <v>73.400000000000006</v>
      </c>
      <c r="R163" s="3503"/>
      <c r="S163" s="55"/>
    </row>
    <row r="164" spans="1:24" s="44" customFormat="1" ht="13.5" customHeight="1">
      <c r="A164" s="402" t="s">
        <v>2452</v>
      </c>
      <c r="B164" s="626" t="s">
        <v>4217</v>
      </c>
      <c r="D164" s="3510"/>
      <c r="E164" s="3511"/>
      <c r="F164" s="3512"/>
      <c r="G164" s="2216"/>
      <c r="H164" s="2217"/>
      <c r="I164" s="2218"/>
      <c r="J164" s="2219"/>
      <c r="K164" s="2219"/>
      <c r="L164" s="2220"/>
      <c r="M164" s="3328" t="str">
        <f>IF(I164+J164+K164+L164=0,"",AVERAGE(I164,J164,K164,L164))</f>
        <v/>
      </c>
      <c r="N164" s="3329"/>
      <c r="O164" s="663" t="str">
        <f>IF(M164="","",IF(M164&gt;Q164,"Yes",IF(M164&lt;Q164,"No","")))</f>
        <v/>
      </c>
      <c r="Q164" s="3502">
        <v>72.099999999999994</v>
      </c>
      <c r="R164" s="3503"/>
      <c r="S164" s="55"/>
    </row>
    <row r="165" spans="1:24" s="44" customFormat="1" ht="13.5" customHeight="1">
      <c r="A165" s="390" t="s">
        <v>2453</v>
      </c>
      <c r="B165" s="626" t="s">
        <v>4039</v>
      </c>
      <c r="D165" s="3504"/>
      <c r="E165" s="3505"/>
      <c r="F165" s="3506"/>
      <c r="G165" s="2221"/>
      <c r="H165" s="2222"/>
      <c r="I165" s="2223"/>
      <c r="J165" s="2224"/>
      <c r="K165" s="2224"/>
      <c r="L165" s="2225"/>
      <c r="M165" s="3326" t="str">
        <f>IF(I165+J165+K165+L165=0,"",AVERAGE(I165,J165,K165,L165))</f>
        <v/>
      </c>
      <c r="N165" s="3327"/>
      <c r="O165" s="664" t="str">
        <f>IF(M165="","",IF(M165&gt;Q165,"Yes",IF(M165&lt;Q165,"No","")))</f>
        <v/>
      </c>
      <c r="Q165" s="3502">
        <v>73.3</v>
      </c>
      <c r="R165" s="3503"/>
      <c r="S165" s="55"/>
    </row>
    <row r="166" spans="1:24" s="44" customFormat="1" ht="1.5" customHeight="1">
      <c r="A166" s="390"/>
      <c r="B166" s="626"/>
    </row>
    <row r="167" spans="1:24" s="44" customFormat="1" ht="13.5" customHeight="1">
      <c r="A167" s="401" t="s">
        <v>2454</v>
      </c>
      <c r="B167" s="1032" t="s">
        <v>4041</v>
      </c>
      <c r="D167" s="443" t="str">
        <f>IF(D163="","",D163)</f>
        <v/>
      </c>
      <c r="G167" s="544" t="str">
        <f t="shared" ref="G167:H169" si="4">IF(G163="","",G163)</f>
        <v/>
      </c>
      <c r="H167" s="544" t="str">
        <f t="shared" si="4"/>
        <v/>
      </c>
      <c r="I167" s="1132"/>
      <c r="J167" s="1133"/>
      <c r="K167" s="1133"/>
      <c r="L167" s="1134"/>
      <c r="M167" s="3330" t="str">
        <f>IF(I167+J167+K167+L167=0,"",AVERAGE(I167,J167,K167,L167))</f>
        <v/>
      </c>
      <c r="N167" s="3331"/>
      <c r="P167" s="665" t="str">
        <f>IF(M167="","",IF(M167&gt;Q163,"Yes",IF(M167&lt;Q163,"No","")))</f>
        <v/>
      </c>
    </row>
    <row r="168" spans="1:24" s="44" customFormat="1" ht="13.5" customHeight="1">
      <c r="A168" s="1102" t="s">
        <v>2455</v>
      </c>
      <c r="B168" s="1032" t="s">
        <v>4040</v>
      </c>
      <c r="D168" s="443" t="str">
        <f>IF(D164="","",D164)</f>
        <v/>
      </c>
      <c r="G168" s="544" t="str">
        <f t="shared" si="4"/>
        <v/>
      </c>
      <c r="H168" s="544" t="str">
        <f t="shared" si="4"/>
        <v/>
      </c>
      <c r="I168" s="1135"/>
      <c r="J168" s="1136"/>
      <c r="K168" s="1136"/>
      <c r="L168" s="1137"/>
      <c r="M168" s="3328" t="str">
        <f>IF(I168+J168+K168+L168=0,"",AVERAGE(I168,J168,K168,L168))</f>
        <v/>
      </c>
      <c r="N168" s="3329"/>
      <c r="P168" s="666" t="str">
        <f>IF(M168="","",IF(M168&gt;Q164,"Yes",IF(M168&lt;Q164,"No","")))</f>
        <v/>
      </c>
    </row>
    <row r="169" spans="1:24" s="44" customFormat="1" ht="13.5" customHeight="1">
      <c r="A169" s="401" t="s">
        <v>2471</v>
      </c>
      <c r="B169" s="1032" t="s">
        <v>4039</v>
      </c>
      <c r="D169" s="443" t="str">
        <f>IF(D165="","",D165)</f>
        <v/>
      </c>
      <c r="G169" s="544" t="str">
        <f t="shared" si="4"/>
        <v/>
      </c>
      <c r="H169" s="544" t="str">
        <f t="shared" si="4"/>
        <v/>
      </c>
      <c r="I169" s="1138"/>
      <c r="J169" s="1139"/>
      <c r="K169" s="1139"/>
      <c r="L169" s="1140"/>
      <c r="M169" s="3326" t="str">
        <f>IF(I169+J169+K169+L169=0,"",AVERAGE(I169,J169,K169,L169))</f>
        <v/>
      </c>
      <c r="N169" s="3327"/>
      <c r="P169" s="667" t="str">
        <f>IF(M169="","",IF(M169&gt;Q165,"Yes",IF(M169&lt;Q165,"No","")))</f>
        <v/>
      </c>
    </row>
    <row r="170" spans="1:24" s="44" customFormat="1" ht="15" customHeight="1" thickBot="1">
      <c r="A170" s="43"/>
      <c r="C170" s="1592"/>
      <c r="D170" s="1592"/>
      <c r="E170" s="1592"/>
      <c r="F170" s="1592"/>
      <c r="G170" s="1592"/>
      <c r="H170" s="1592"/>
      <c r="I170" s="1592"/>
      <c r="J170" s="1592"/>
      <c r="K170" s="1592"/>
      <c r="L170" s="1592"/>
      <c r="M170" s="1592"/>
      <c r="N170" s="77"/>
      <c r="O170" s="73"/>
      <c r="P170" s="941"/>
    </row>
    <row r="171" spans="1:24" s="105" customFormat="1" ht="13.5" customHeight="1" thickBot="1">
      <c r="A171" s="185" t="s">
        <v>2001</v>
      </c>
      <c r="B171" s="10" t="s">
        <v>4043</v>
      </c>
      <c r="C171" s="95"/>
      <c r="D171" s="1191"/>
      <c r="E171" s="1191"/>
      <c r="F171" s="62" t="s">
        <v>3412</v>
      </c>
      <c r="H171" s="41" t="s">
        <v>3897</v>
      </c>
      <c r="M171" s="445">
        <v>2</v>
      </c>
      <c r="N171" s="181"/>
      <c r="O171" s="1194" t="str">
        <f>IF(AND(I180="Yes",I181="Yes"),$H$181,IF(AND(I180="Yes",I181="No"),$H$180,0))</f>
        <v>2.</v>
      </c>
      <c r="P171" s="1194">
        <f>IF(AND(J180="Yes",J181="Yes"),$H$181,IF(AND(J180="Yes",J181="No"),$H$180,0))</f>
        <v>0</v>
      </c>
      <c r="Q171" s="112"/>
      <c r="R171" s="1192"/>
    </row>
    <row r="172" spans="1:24" s="56" customFormat="1" ht="15" customHeight="1">
      <c r="E172" s="3324" t="s">
        <v>4220</v>
      </c>
      <c r="F172" s="3324" t="s">
        <v>3687</v>
      </c>
      <c r="G172" s="3553" t="s">
        <v>3420</v>
      </c>
      <c r="H172" s="3553"/>
      <c r="I172" s="3553"/>
      <c r="J172" s="3553"/>
      <c r="K172" s="3553"/>
      <c r="L172" s="3553"/>
      <c r="M172" s="3553"/>
      <c r="N172" s="3553"/>
      <c r="P172" s="1224"/>
      <c r="R172" s="430" t="s">
        <v>2850</v>
      </c>
      <c r="T172" s="3524" t="str">
        <f>'Part I-Project Information'!$F$38</f>
        <v>Macon</v>
      </c>
      <c r="U172" s="3525"/>
      <c r="V172" s="3525"/>
      <c r="W172" s="3525"/>
      <c r="X172" s="3526"/>
    </row>
    <row r="173" spans="1:24" s="56" customFormat="1" ht="13.5" customHeight="1">
      <c r="A173" s="48"/>
      <c r="B173" s="3561" t="s">
        <v>4046</v>
      </c>
      <c r="C173" s="3561"/>
      <c r="D173" s="3561"/>
      <c r="E173" s="3325"/>
      <c r="F173" s="3325"/>
      <c r="G173" s="3552" t="s">
        <v>4045</v>
      </c>
      <c r="H173" s="3552"/>
      <c r="I173" s="3552"/>
      <c r="J173" s="3552"/>
      <c r="K173" s="3552"/>
      <c r="L173" s="3552"/>
      <c r="M173" s="3552"/>
      <c r="N173" s="3552"/>
      <c r="O173" s="3324" t="s">
        <v>3688</v>
      </c>
      <c r="P173" s="3324"/>
      <c r="R173" s="59" t="s">
        <v>2851</v>
      </c>
      <c r="T173" s="3521" t="str">
        <f>'Part I-Project Information'!$J$39</f>
        <v>Bibb</v>
      </c>
      <c r="U173" s="3522"/>
      <c r="V173" s="3522"/>
      <c r="W173" s="3522"/>
      <c r="X173" s="3523"/>
    </row>
    <row r="174" spans="1:24" s="56" customFormat="1" ht="13.5" customHeight="1">
      <c r="A174" s="48"/>
      <c r="B174" s="3557" t="s">
        <v>3857</v>
      </c>
      <c r="C174" s="3557"/>
      <c r="D174" s="3557"/>
      <c r="E174" s="1607">
        <v>3000</v>
      </c>
      <c r="F174" s="1607">
        <v>6000</v>
      </c>
      <c r="G174" s="3544">
        <v>15000</v>
      </c>
      <c r="H174" s="3544"/>
      <c r="I174" s="3544"/>
      <c r="J174" s="3544"/>
      <c r="K174" s="3544"/>
      <c r="L174" s="3544"/>
      <c r="M174" s="3544"/>
      <c r="N174" s="3544"/>
      <c r="O174" s="3544">
        <v>20000</v>
      </c>
      <c r="P174" s="3544"/>
      <c r="R174" s="443" t="s">
        <v>2852</v>
      </c>
      <c r="T174" s="3521" t="str">
        <f>'Part I-Project Information'!$O$40</f>
        <v>Macon</v>
      </c>
      <c r="U174" s="3522"/>
      <c r="V174" s="3522"/>
      <c r="W174" s="3522"/>
      <c r="X174" s="3523"/>
    </row>
    <row r="175" spans="1:24" s="37" customFormat="1" ht="13.5" customHeight="1">
      <c r="A175" s="48"/>
      <c r="B175" s="3565" t="s">
        <v>4044</v>
      </c>
      <c r="C175" s="3565"/>
      <c r="D175" s="3565"/>
      <c r="E175" s="1608">
        <v>4500</v>
      </c>
      <c r="F175" s="1608">
        <v>9000</v>
      </c>
      <c r="G175" s="3551">
        <v>22500</v>
      </c>
      <c r="H175" s="3551"/>
      <c r="I175" s="3551"/>
      <c r="J175" s="3551"/>
      <c r="K175" s="3551"/>
      <c r="L175" s="3551"/>
      <c r="M175" s="3551"/>
      <c r="N175" s="3551"/>
      <c r="O175" s="3551">
        <v>30000</v>
      </c>
      <c r="P175" s="3551"/>
      <c r="R175" s="41" t="s">
        <v>3890</v>
      </c>
      <c r="T175" s="3554" t="str">
        <f>VLOOKUP('Part I-Project Information'!$J$39,'DCA Underwriting Assumptions'!$G$155:$J$314,4)</f>
        <v>MSA</v>
      </c>
      <c r="U175" s="3555"/>
      <c r="V175" s="3555"/>
      <c r="W175" s="3555"/>
      <c r="X175" s="3556"/>
    </row>
    <row r="176" spans="1:24" s="56" customFormat="1" ht="9" customHeight="1">
      <c r="A176" s="48"/>
      <c r="B176" s="48"/>
      <c r="C176" s="430"/>
      <c r="K176" s="544"/>
      <c r="L176" s="544"/>
    </row>
    <row r="177" spans="1:24" s="56" customFormat="1" ht="13.5" customHeight="1">
      <c r="B177" s="959" t="s">
        <v>3891</v>
      </c>
      <c r="E177" s="958"/>
      <c r="F177" s="958"/>
      <c r="G177" s="958"/>
      <c r="I177" s="2226">
        <v>6000</v>
      </c>
      <c r="J177" s="1256"/>
      <c r="R177" s="56" t="s">
        <v>3653</v>
      </c>
      <c r="T177" s="3558" t="str">
        <f>'Part I-Project Information'!$K$40</f>
        <v>Urban</v>
      </c>
      <c r="U177" s="3559"/>
      <c r="V177" s="3559"/>
      <c r="W177" s="3559"/>
      <c r="X177" s="3560"/>
    </row>
    <row r="178" spans="1:24" s="56" customFormat="1" ht="13.5" customHeight="1">
      <c r="A178" s="961"/>
      <c r="B178" s="443" t="s">
        <v>3652</v>
      </c>
      <c r="H178" s="960" t="str">
        <f>IF(I178&lt;I177,"Threshold not met!","")</f>
        <v/>
      </c>
      <c r="I178" s="2227">
        <v>27429</v>
      </c>
      <c r="J178" s="1257"/>
      <c r="K178" s="1226" t="str">
        <f>IF(J178&lt;J177,"Threshold not met!","")</f>
        <v/>
      </c>
    </row>
    <row r="179" spans="1:24" s="56" customFormat="1" ht="8.25" customHeight="1">
      <c r="A179" s="961"/>
      <c r="B179" s="443"/>
    </row>
    <row r="180" spans="1:24" s="56" customFormat="1" ht="11.25" customHeight="1">
      <c r="B180" s="611" t="s">
        <v>2002</v>
      </c>
      <c r="C180" s="37" t="s">
        <v>4219</v>
      </c>
      <c r="D180" s="1160"/>
      <c r="E180" s="1160"/>
      <c r="F180" s="1160"/>
      <c r="G180" s="1160"/>
      <c r="H180" s="1276" t="s">
        <v>2002</v>
      </c>
      <c r="I180" s="1273" t="str">
        <f>IF(OR(I177="",I178=""),"",IF(I178&gt;=I177,"Yes","No"))</f>
        <v>Yes</v>
      </c>
      <c r="J180" s="1273" t="str">
        <f>IF(OR(J177="",J178=""),"",IF(J178&gt;=J177,"Yes","No"))</f>
        <v/>
      </c>
    </row>
    <row r="181" spans="1:24" s="56" customFormat="1" ht="11.25" customHeight="1">
      <c r="A181" s="1161" t="s">
        <v>1365</v>
      </c>
      <c r="B181" s="611" t="s">
        <v>2004</v>
      </c>
      <c r="C181" s="37" t="s">
        <v>4047</v>
      </c>
      <c r="D181" s="1354"/>
      <c r="E181" s="1354"/>
      <c r="F181" s="1354"/>
      <c r="H181" s="1276" t="s">
        <v>2004</v>
      </c>
      <c r="I181" s="1274" t="str">
        <f>IF(OR(I177="",I178=""),"",IF(I178&gt;=HLOOKUP(I177,$E$174:$P$175,2),"Yes","No"))</f>
        <v>Yes</v>
      </c>
      <c r="J181" s="1274" t="str">
        <f>IF(OR(J177="",J178=""),"",IF(J178&gt;=HLOOKUP(J177,$E$174:$P$175,2),"Yes","No"))</f>
        <v/>
      </c>
    </row>
    <row r="182" spans="1:24" s="56" customFormat="1" ht="11.25" customHeight="1">
      <c r="A182" s="1161"/>
      <c r="B182" s="143"/>
      <c r="C182" s="443" t="s">
        <v>3914</v>
      </c>
      <c r="D182" s="1354"/>
      <c r="E182" s="1354"/>
      <c r="F182" s="1354"/>
      <c r="G182" s="1225"/>
      <c r="I182" s="1275">
        <f>IF(I178="",0,(I178/I177) - 1)</f>
        <v>3.5715000000000003</v>
      </c>
      <c r="J182" s="1275">
        <f>IF(J178="",0,(J178/J177) - 1)</f>
        <v>0</v>
      </c>
      <c r="M182" s="544"/>
    </row>
    <row r="183" spans="1:24" s="56" customFormat="1" ht="9" customHeight="1">
      <c r="A183" s="48"/>
      <c r="B183" s="48"/>
      <c r="C183" s="430"/>
      <c r="K183" s="544"/>
      <c r="L183" s="544"/>
    </row>
    <row r="184" spans="1:24" s="44" customFormat="1" ht="10.5" customHeight="1" thickBot="1">
      <c r="A184" s="43"/>
      <c r="B184" s="1332" t="s">
        <v>3780</v>
      </c>
      <c r="C184" s="43"/>
      <c r="D184" s="49"/>
      <c r="E184" s="49"/>
      <c r="F184" s="49"/>
      <c r="G184" s="49"/>
      <c r="H184" s="37"/>
      <c r="I184" s="37"/>
      <c r="J184" s="37"/>
      <c r="K184" s="37"/>
      <c r="M184" s="47"/>
      <c r="N184" s="63"/>
      <c r="O184" s="3"/>
      <c r="P184" s="1587"/>
    </row>
    <row r="185" spans="1:24" s="44" customFormat="1" ht="57" customHeight="1" thickTop="1" thickBot="1">
      <c r="A185" s="3455" t="s">
        <v>4720</v>
      </c>
      <c r="B185" s="3456"/>
      <c r="C185" s="3456"/>
      <c r="D185" s="3456"/>
      <c r="E185" s="3456"/>
      <c r="F185" s="3456"/>
      <c r="G185" s="3456"/>
      <c r="H185" s="3456"/>
      <c r="I185" s="3456"/>
      <c r="J185" s="3456"/>
      <c r="K185" s="3456"/>
      <c r="L185" s="3456"/>
      <c r="M185" s="3456"/>
      <c r="N185" s="3456"/>
      <c r="O185" s="3456"/>
      <c r="P185" s="3457"/>
      <c r="Q185" s="1174" t="s">
        <v>1266</v>
      </c>
    </row>
    <row r="186" spans="1:24" s="44" customFormat="1" ht="10.5" customHeight="1" thickTop="1">
      <c r="A186" s="43"/>
      <c r="B186" s="88" t="s">
        <v>1880</v>
      </c>
      <c r="C186" s="101"/>
      <c r="D186" s="88"/>
      <c r="E186" s="102"/>
      <c r="F186" s="1592"/>
      <c r="G186" s="1592"/>
      <c r="H186" s="1592"/>
      <c r="I186" s="1592"/>
      <c r="J186" s="1592"/>
      <c r="K186" s="1592"/>
      <c r="L186" s="1592"/>
      <c r="M186" s="1592"/>
      <c r="N186" s="77"/>
      <c r="O186" s="73"/>
      <c r="P186" s="1584"/>
      <c r="Q186" s="441"/>
    </row>
    <row r="187" spans="1:24" s="44" customFormat="1" ht="11.25" customHeight="1">
      <c r="A187" s="3159"/>
      <c r="B187" s="3160"/>
      <c r="C187" s="3160"/>
      <c r="D187" s="3160"/>
      <c r="E187" s="3160"/>
      <c r="F187" s="3160"/>
      <c r="G187" s="3160"/>
      <c r="H187" s="3160"/>
      <c r="I187" s="3160"/>
      <c r="J187" s="3160"/>
      <c r="K187" s="3160"/>
      <c r="L187" s="3160"/>
      <c r="M187" s="3160"/>
      <c r="N187" s="3160"/>
      <c r="O187" s="3160"/>
      <c r="P187" s="3161"/>
      <c r="Q187" s="461"/>
    </row>
    <row r="188" spans="1:24" s="44" customFormat="1" ht="3" customHeight="1" thickBot="1">
      <c r="A188" s="43"/>
      <c r="C188" s="1592"/>
      <c r="D188" s="1592"/>
      <c r="E188" s="1592"/>
      <c r="F188" s="1592"/>
      <c r="G188" s="1592"/>
      <c r="H188" s="1592"/>
      <c r="I188" s="1592"/>
      <c r="J188" s="1592"/>
      <c r="K188" s="1592"/>
      <c r="L188" s="1592"/>
      <c r="M188" s="1592"/>
      <c r="N188" s="77"/>
      <c r="O188" s="73"/>
      <c r="P188" s="941"/>
    </row>
    <row r="189" spans="1:24" s="105" customFormat="1" ht="12.6" customHeight="1" thickBot="1">
      <c r="A189" s="158" t="s">
        <v>294</v>
      </c>
      <c r="B189" s="109" t="s">
        <v>4053</v>
      </c>
      <c r="C189" s="95"/>
      <c r="D189" s="60"/>
      <c r="E189" s="60"/>
      <c r="H189" s="949" t="s">
        <v>4054</v>
      </c>
      <c r="I189" s="1162"/>
      <c r="J189" s="1162"/>
      <c r="K189" s="615"/>
      <c r="L189" s="615"/>
      <c r="M189" s="1584">
        <v>7</v>
      </c>
      <c r="N189" s="7"/>
      <c r="O189" s="1193">
        <f>O207+O212</f>
        <v>7</v>
      </c>
      <c r="P189" s="1193">
        <f>P207+P212</f>
        <v>0</v>
      </c>
      <c r="Q189" s="112" t="s">
        <v>443</v>
      </c>
      <c r="R189" s="44"/>
    </row>
    <row r="190" spans="1:24" ht="3" customHeight="1">
      <c r="A190" s="532"/>
      <c r="B190" s="495"/>
      <c r="D190" s="614"/>
      <c r="E190" s="495"/>
      <c r="G190" s="623"/>
      <c r="H190" s="624"/>
      <c r="I190" s="448"/>
      <c r="K190" s="910"/>
      <c r="N190" s="28"/>
      <c r="O190" s="28"/>
      <c r="P190" s="28"/>
      <c r="R190" s="1169"/>
      <c r="S190" s="1169"/>
    </row>
    <row r="191" spans="1:24" s="44" customFormat="1" ht="11.45" customHeight="1">
      <c r="A191" s="444"/>
      <c r="B191" s="172" t="s">
        <v>4181</v>
      </c>
      <c r="C191" s="172"/>
      <c r="D191" s="172"/>
      <c r="E191" s="179" t="s">
        <v>4229</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6" t="s">
        <v>2527</v>
      </c>
      <c r="L192" s="1297" t="s">
        <v>2527</v>
      </c>
      <c r="N192" s="1341"/>
      <c r="P192" s="1342"/>
    </row>
    <row r="193" spans="1:25" s="406" customFormat="1" ht="10.5" customHeight="1">
      <c r="B193" s="1102" t="s">
        <v>2451</v>
      </c>
      <c r="C193" s="3197" t="s">
        <v>4182</v>
      </c>
      <c r="D193" s="3197"/>
      <c r="E193" s="3197"/>
      <c r="F193" s="3197"/>
      <c r="G193" s="3197"/>
      <c r="H193" s="3197"/>
      <c r="I193" s="3197"/>
      <c r="J193" s="1102" t="s">
        <v>2451</v>
      </c>
      <c r="K193" s="2228" t="s">
        <v>3010</v>
      </c>
      <c r="L193" s="1343"/>
      <c r="M193" s="3321" t="s">
        <v>4689</v>
      </c>
      <c r="N193" s="3322"/>
      <c r="O193" s="3322"/>
      <c r="P193" s="3323"/>
    </row>
    <row r="194" spans="1:25" s="44" customFormat="1" ht="10.5" customHeight="1">
      <c r="A194" s="388"/>
      <c r="B194" s="390"/>
      <c r="C194" s="3197"/>
      <c r="D194" s="3197"/>
      <c r="E194" s="3197"/>
      <c r="F194" s="3197"/>
      <c r="G194" s="3197"/>
      <c r="H194" s="3197"/>
      <c r="I194" s="3197"/>
      <c r="K194" s="1314"/>
      <c r="L194" s="1314"/>
    </row>
    <row r="195" spans="1:25" s="44" customFormat="1" ht="10.5" customHeight="1">
      <c r="A195" s="388"/>
      <c r="B195" s="402" t="s">
        <v>2452</v>
      </c>
      <c r="C195" s="3306" t="s">
        <v>3630</v>
      </c>
      <c r="D195" s="3306"/>
      <c r="E195" s="3306"/>
      <c r="F195" s="3306"/>
      <c r="G195" s="3306"/>
      <c r="J195" s="390" t="s">
        <v>2452</v>
      </c>
      <c r="K195" s="2229" t="s">
        <v>3010</v>
      </c>
      <c r="L195" s="569"/>
      <c r="M195" s="3321" t="s">
        <v>4690</v>
      </c>
      <c r="N195" s="3322"/>
      <c r="O195" s="3322"/>
      <c r="P195" s="3323"/>
    </row>
    <row r="196" spans="1:25" s="406" customFormat="1" ht="10.5" customHeight="1">
      <c r="B196" s="402" t="s">
        <v>2453</v>
      </c>
      <c r="C196" s="1007" t="s">
        <v>2843</v>
      </c>
      <c r="D196" s="1007"/>
      <c r="E196" s="1007"/>
      <c r="F196" s="1007"/>
      <c r="G196" s="1007"/>
      <c r="H196" s="1007"/>
      <c r="J196" s="402" t="s">
        <v>2453</v>
      </c>
      <c r="K196" s="2229" t="s">
        <v>3010</v>
      </c>
      <c r="L196" s="569"/>
      <c r="M196" s="3321" t="s">
        <v>4691</v>
      </c>
      <c r="N196" s="3322"/>
      <c r="O196" s="3322"/>
      <c r="P196" s="3323"/>
    </row>
    <row r="197" spans="1:25" s="406" customFormat="1" ht="10.5" customHeight="1">
      <c r="B197" s="402" t="s">
        <v>2454</v>
      </c>
      <c r="C197" s="1033" t="s">
        <v>4058</v>
      </c>
      <c r="D197" s="144"/>
      <c r="E197" s="144"/>
      <c r="F197" s="144"/>
      <c r="G197" s="144"/>
      <c r="H197" s="144"/>
      <c r="J197" s="402" t="s">
        <v>2454</v>
      </c>
      <c r="K197" s="2229" t="s">
        <v>3010</v>
      </c>
      <c r="L197" s="569"/>
      <c r="M197" s="3321" t="s">
        <v>4731</v>
      </c>
      <c r="N197" s="3322"/>
      <c r="O197" s="3322"/>
      <c r="P197" s="3323"/>
    </row>
    <row r="198" spans="1:25" s="406" customFormat="1" ht="10.5" customHeight="1">
      <c r="B198" s="1102"/>
      <c r="D198" s="144" t="s">
        <v>4227</v>
      </c>
      <c r="E198" s="144"/>
      <c r="H198" s="144"/>
      <c r="J198" s="1102"/>
      <c r="K198" s="2230" t="s">
        <v>3010</v>
      </c>
      <c r="L198" s="571"/>
    </row>
    <row r="199" spans="1:25" s="406" customFormat="1" ht="10.5" customHeight="1">
      <c r="B199" s="402" t="s">
        <v>2455</v>
      </c>
      <c r="C199" s="1007" t="s">
        <v>4048</v>
      </c>
      <c r="D199" s="1007"/>
      <c r="E199" s="1007"/>
      <c r="F199" s="1007"/>
      <c r="G199" s="1007"/>
      <c r="H199" s="1007"/>
      <c r="J199" s="402" t="s">
        <v>2455</v>
      </c>
      <c r="K199" s="2229" t="s">
        <v>3010</v>
      </c>
      <c r="L199" s="569"/>
      <c r="M199" s="3321" t="s">
        <v>4692</v>
      </c>
      <c r="N199" s="3322"/>
      <c r="O199" s="3322"/>
      <c r="P199" s="3323"/>
    </row>
    <row r="200" spans="1:25" s="406" customFormat="1" ht="10.5" customHeight="1">
      <c r="B200" s="1102" t="s">
        <v>2471</v>
      </c>
      <c r="C200" s="1007" t="s">
        <v>2844</v>
      </c>
      <c r="D200" s="1007"/>
      <c r="E200" s="1007"/>
      <c r="F200" s="1007"/>
      <c r="G200" s="1007"/>
      <c r="J200" s="1102" t="s">
        <v>2471</v>
      </c>
      <c r="K200" s="2229" t="s">
        <v>3010</v>
      </c>
      <c r="L200" s="569"/>
      <c r="M200" s="3321" t="s">
        <v>4693</v>
      </c>
      <c r="N200" s="3322"/>
      <c r="O200" s="3322"/>
      <c r="P200" s="3323"/>
    </row>
    <row r="201" spans="1:25" s="406" customFormat="1" ht="10.5" customHeight="1">
      <c r="B201" s="1102" t="s">
        <v>2472</v>
      </c>
      <c r="C201" s="1007" t="s">
        <v>4049</v>
      </c>
      <c r="D201" s="1007"/>
      <c r="E201" s="1007"/>
      <c r="F201" s="1007"/>
      <c r="J201" s="1102" t="s">
        <v>2472</v>
      </c>
      <c r="K201" s="2229" t="s">
        <v>3010</v>
      </c>
      <c r="L201" s="569"/>
    </row>
    <row r="202" spans="1:25" s="406" customFormat="1" ht="10.5" customHeight="1">
      <c r="B202" s="402"/>
      <c r="C202" s="1007"/>
      <c r="D202" s="1096" t="s">
        <v>4050</v>
      </c>
      <c r="E202" s="1007"/>
      <c r="F202" s="2231" t="s">
        <v>4688</v>
      </c>
      <c r="G202" s="1345"/>
      <c r="I202" s="1096" t="s">
        <v>4051</v>
      </c>
      <c r="K202" s="2232" t="s">
        <v>4687</v>
      </c>
      <c r="L202" s="1344"/>
    </row>
    <row r="203" spans="1:25" s="406" customFormat="1" ht="10.5" customHeight="1">
      <c r="B203" s="1102" t="s">
        <v>2473</v>
      </c>
      <c r="C203" s="1007" t="s">
        <v>3808</v>
      </c>
      <c r="D203" s="1007"/>
      <c r="E203" s="1007"/>
      <c r="F203" s="1007"/>
      <c r="J203" s="1102" t="s">
        <v>2473</v>
      </c>
      <c r="K203" s="2228" t="s">
        <v>3010</v>
      </c>
      <c r="L203" s="1343"/>
    </row>
    <row r="204" spans="1:25" ht="3" customHeight="1">
      <c r="A204" s="532"/>
      <c r="B204" s="495"/>
      <c r="D204" s="614"/>
      <c r="E204" s="495"/>
      <c r="G204" s="623"/>
      <c r="H204" s="624"/>
      <c r="I204" s="448"/>
      <c r="K204" s="910"/>
      <c r="N204" s="28"/>
      <c r="O204" s="28"/>
      <c r="P204" s="28"/>
    </row>
    <row r="205" spans="1:25" ht="11.25" customHeight="1">
      <c r="B205" s="1609" t="s">
        <v>4183</v>
      </c>
      <c r="E205" s="34"/>
      <c r="G205" s="3562" t="s">
        <v>4633</v>
      </c>
      <c r="H205" s="3563"/>
      <c r="I205" s="3563"/>
      <c r="J205" s="3563"/>
      <c r="K205" s="3563"/>
      <c r="L205" s="3563"/>
      <c r="M205" s="3563"/>
      <c r="N205" s="3563"/>
      <c r="O205" s="3563"/>
      <c r="P205" s="3564"/>
      <c r="Q205" s="1192"/>
    </row>
    <row r="206" spans="1:25" ht="3.75" customHeight="1">
      <c r="B206" s="401"/>
      <c r="C206" s="515"/>
      <c r="K206" s="41"/>
      <c r="M206" s="388"/>
      <c r="N206" s="388"/>
      <c r="O206" s="388"/>
      <c r="P206" s="388"/>
    </row>
    <row r="207" spans="1:25" ht="11.25" customHeight="1">
      <c r="A207" s="143" t="s">
        <v>1999</v>
      </c>
      <c r="B207" s="184" t="s">
        <v>4052</v>
      </c>
      <c r="H207" s="164"/>
      <c r="I207" s="164"/>
      <c r="M207" s="445">
        <v>5</v>
      </c>
      <c r="N207" s="48" t="s">
        <v>1999</v>
      </c>
      <c r="O207" s="575">
        <f>SUM(O208:O209)</f>
        <v>5</v>
      </c>
      <c r="P207" s="575">
        <f>SUM(P208:P209)</f>
        <v>0</v>
      </c>
      <c r="Q207" s="1099"/>
      <c r="X207" s="388"/>
      <c r="Y207" s="390"/>
    </row>
    <row r="208" spans="1:25" ht="21.75" customHeight="1">
      <c r="A208" s="532"/>
      <c r="B208" s="621" t="s">
        <v>2002</v>
      </c>
      <c r="C208" s="3306" t="s">
        <v>3807</v>
      </c>
      <c r="D208" s="3306"/>
      <c r="E208" s="3306"/>
      <c r="F208" s="3306"/>
      <c r="G208" s="3306"/>
      <c r="H208" s="3306"/>
      <c r="I208" s="3306"/>
      <c r="J208" s="3306"/>
      <c r="K208" s="3306"/>
      <c r="L208" s="391" t="str">
        <f>IF(OR($O208=$M208,$O208=0,$O208=""),"","* * Check Score! * *")</f>
        <v/>
      </c>
      <c r="M208" s="1242">
        <v>3</v>
      </c>
      <c r="N208" s="499" t="s">
        <v>2002</v>
      </c>
      <c r="O208" s="2200">
        <v>3</v>
      </c>
      <c r="P208" s="913"/>
      <c r="Q208" s="1090" t="str">
        <f>IF(OR($O208=$M208,$O208=0,$O208=""),"","*CHECK!*")</f>
        <v/>
      </c>
      <c r="R208" s="1086" t="s">
        <v>2724</v>
      </c>
    </row>
    <row r="209" spans="1:23" ht="21.75" customHeight="1">
      <c r="A209" s="532"/>
      <c r="B209" s="621" t="s">
        <v>2004</v>
      </c>
      <c r="C209" s="3589" t="s">
        <v>4057</v>
      </c>
      <c r="D209" s="3589"/>
      <c r="E209" s="3589"/>
      <c r="F209" s="3589"/>
      <c r="G209" s="3589"/>
      <c r="H209" s="3589"/>
      <c r="I209" s="3589"/>
      <c r="J209" s="3589"/>
      <c r="K209" s="3589"/>
      <c r="L209" s="391" t="str">
        <f>IF(OR($O209=$M209,$O209=0,$O209=""),"","* * Check Score! * *")</f>
        <v/>
      </c>
      <c r="M209" s="1242">
        <v>2</v>
      </c>
      <c r="N209" s="499" t="s">
        <v>2004</v>
      </c>
      <c r="O209" s="2195">
        <v>2</v>
      </c>
      <c r="P209" s="1218"/>
      <c r="Q209" s="1090" t="str">
        <f>IF(OR($O209=$M209,$O209=0,$O209=""),"","*CHECK!*")</f>
        <v/>
      </c>
      <c r="R209" s="1086" t="s">
        <v>2724</v>
      </c>
    </row>
    <row r="210" spans="1:23" ht="10.5" customHeight="1">
      <c r="A210" s="532"/>
      <c r="B210" s="495"/>
      <c r="C210" s="495" t="s">
        <v>3806</v>
      </c>
      <c r="D210" s="164"/>
      <c r="E210" s="453" t="str">
        <f>'Part I-Project Information'!$N$39</f>
        <v>Yes</v>
      </c>
      <c r="G210" s="495" t="s">
        <v>3599</v>
      </c>
      <c r="I210" s="3517" t="str">
        <f>'Part I-Project Information'!$O$38</f>
        <v>105</v>
      </c>
      <c r="J210" s="3517"/>
      <c r="K210" s="448" t="s">
        <v>3396</v>
      </c>
      <c r="M210" s="910" t="str">
        <f>'Part IV-A-Uses of Funds'!$H$152</f>
        <v>DDA/QCT</v>
      </c>
      <c r="N210" s="28"/>
      <c r="O210" s="28"/>
      <c r="P210" s="28"/>
      <c r="R210" s="164"/>
    </row>
    <row r="211" spans="1:23" ht="3" customHeight="1">
      <c r="A211" s="532"/>
      <c r="B211" s="495"/>
      <c r="D211" s="614"/>
      <c r="E211" s="495"/>
      <c r="G211" s="448"/>
      <c r="K211" s="910"/>
      <c r="L211" s="910"/>
      <c r="N211" s="28"/>
      <c r="O211" s="28"/>
      <c r="P211" s="28"/>
      <c r="R211" s="164"/>
    </row>
    <row r="212" spans="1:23" ht="11.45" customHeight="1">
      <c r="A212" s="143" t="s">
        <v>2001</v>
      </c>
      <c r="B212" s="184" t="s">
        <v>4055</v>
      </c>
      <c r="D212" s="34"/>
      <c r="K212" s="1277"/>
      <c r="L212" s="391" t="str">
        <f>IF(OR($O212=$M212,$O212=0,$O212=""),"","* * Check Score! * *")</f>
        <v/>
      </c>
      <c r="M212" s="445">
        <v>2</v>
      </c>
      <c r="N212" s="65" t="s">
        <v>2001</v>
      </c>
      <c r="O212" s="2201">
        <v>2</v>
      </c>
      <c r="P212" s="912"/>
      <c r="Q212" s="1090" t="str">
        <f>IF(OR($O212=$M212,$O212=0,$O212=""),"","*CHECK!*")</f>
        <v/>
      </c>
      <c r="R212" s="1086" t="s">
        <v>2724</v>
      </c>
    </row>
    <row r="213" spans="1:23" s="44" customFormat="1" ht="10.5" customHeight="1">
      <c r="A213" s="143"/>
      <c r="B213" s="37" t="s">
        <v>2812</v>
      </c>
      <c r="D213" s="40"/>
      <c r="E213" s="37"/>
      <c r="F213" s="941"/>
      <c r="H213" s="446"/>
      <c r="J213" s="654" t="str">
        <f>'Part I-Project Information'!$H$100</f>
        <v>Flexible</v>
      </c>
      <c r="K213" s="956"/>
      <c r="T213" s="391" t="str">
        <f>IF(OR($O212=$M212,$O212=0,$O212=""),"","* * Check Score! * *")</f>
        <v/>
      </c>
      <c r="V213" s="1169"/>
      <c r="W213" s="1169"/>
    </row>
    <row r="214" spans="1:23" s="44" customFormat="1" ht="10.5" customHeight="1">
      <c r="A214" s="182"/>
      <c r="B214" s="37" t="s">
        <v>3887</v>
      </c>
      <c r="J214" s="3545" t="s">
        <v>4694</v>
      </c>
      <c r="K214" s="3546"/>
      <c r="L214" s="3547"/>
      <c r="V214" s="1169"/>
      <c r="W214" s="1169"/>
    </row>
    <row r="215" spans="1:23" s="44" customFormat="1" ht="10.5" customHeight="1">
      <c r="A215" s="182"/>
      <c r="B215" s="495" t="s">
        <v>3888</v>
      </c>
      <c r="I215" s="960" t="str">
        <f>IF($J$215="Government", "Additional documentation required - see QAP.","")</f>
        <v>Additional documentation required - see QAP.</v>
      </c>
      <c r="J215" s="3548" t="s">
        <v>4695</v>
      </c>
      <c r="K215" s="3549"/>
      <c r="L215" s="3550"/>
      <c r="M215" s="1106" t="s">
        <v>3651</v>
      </c>
      <c r="N215" s="1107"/>
      <c r="O215" s="1107"/>
      <c r="P215" s="1108"/>
      <c r="V215" s="1169"/>
      <c r="W215" s="1169"/>
    </row>
    <row r="216" spans="1:23" ht="10.5" customHeight="1">
      <c r="A216" s="183"/>
      <c r="B216" s="495" t="s">
        <v>4243</v>
      </c>
      <c r="F216" s="1258"/>
      <c r="G216" s="1258"/>
      <c r="H216" s="1258"/>
      <c r="L216" s="2207"/>
      <c r="M216" s="3527" t="s">
        <v>4696</v>
      </c>
      <c r="N216" s="3528"/>
      <c r="O216" s="3528"/>
      <c r="P216" s="3529"/>
      <c r="V216" s="1169"/>
      <c r="W216" s="1169"/>
    </row>
    <row r="217" spans="1:23" ht="10.5" customHeight="1">
      <c r="A217" s="183"/>
      <c r="B217" s="405" t="s">
        <v>3817</v>
      </c>
      <c r="G217" s="405"/>
      <c r="J217" s="2233">
        <v>0.5</v>
      </c>
      <c r="K217" s="1317" t="s">
        <v>3816</v>
      </c>
      <c r="L217" s="1258"/>
      <c r="V217" s="1169"/>
      <c r="W217" s="1169"/>
    </row>
    <row r="218" spans="1:23" ht="55.9" customHeight="1">
      <c r="A218" s="3596" t="s">
        <v>4224</v>
      </c>
      <c r="B218" s="3594" t="s">
        <v>4221</v>
      </c>
      <c r="C218" s="3595"/>
      <c r="D218" s="2643" t="s">
        <v>4697</v>
      </c>
      <c r="E218" s="2644"/>
      <c r="F218" s="2644"/>
      <c r="G218" s="2644"/>
      <c r="H218" s="2644"/>
      <c r="I218" s="2644"/>
      <c r="J218" s="2644"/>
      <c r="K218" s="2644"/>
      <c r="L218" s="2644"/>
      <c r="M218" s="2644"/>
      <c r="N218" s="2644"/>
      <c r="O218" s="2644"/>
      <c r="P218" s="2645"/>
      <c r="Q218" s="461"/>
      <c r="V218" s="1169"/>
      <c r="W218" s="1169"/>
    </row>
    <row r="219" spans="1:23" ht="65.45" customHeight="1">
      <c r="A219" s="3597"/>
      <c r="B219" s="3461" t="s">
        <v>4222</v>
      </c>
      <c r="C219" s="3462"/>
      <c r="D219" s="2647" t="s">
        <v>4698</v>
      </c>
      <c r="E219" s="2648"/>
      <c r="F219" s="2648"/>
      <c r="G219" s="2648"/>
      <c r="H219" s="2648"/>
      <c r="I219" s="2648"/>
      <c r="J219" s="2648"/>
      <c r="K219" s="2648"/>
      <c r="L219" s="2648"/>
      <c r="M219" s="2648"/>
      <c r="N219" s="2648"/>
      <c r="O219" s="2648"/>
      <c r="P219" s="2649"/>
      <c r="Q219" s="461"/>
      <c r="V219" s="1169"/>
      <c r="W219" s="1169"/>
    </row>
    <row r="220" spans="1:23" ht="45" customHeight="1">
      <c r="A220" s="3598"/>
      <c r="B220" s="3592" t="s">
        <v>4223</v>
      </c>
      <c r="C220" s="3593"/>
      <c r="D220" s="2660" t="s">
        <v>4699</v>
      </c>
      <c r="E220" s="2661"/>
      <c r="F220" s="2661"/>
      <c r="G220" s="2661"/>
      <c r="H220" s="2661"/>
      <c r="I220" s="2661"/>
      <c r="J220" s="2661"/>
      <c r="K220" s="2661"/>
      <c r="L220" s="2661"/>
      <c r="M220" s="2661"/>
      <c r="N220" s="2661"/>
      <c r="O220" s="2661"/>
      <c r="P220" s="2662"/>
      <c r="Q220" s="461"/>
      <c r="V220" s="1169"/>
      <c r="W220" s="1169"/>
    </row>
    <row r="221" spans="1:23" ht="10.5" customHeight="1">
      <c r="B221" s="37" t="s">
        <v>3476</v>
      </c>
      <c r="G221" s="3449" t="s">
        <v>2646</v>
      </c>
      <c r="H221" s="3449"/>
      <c r="J221" s="3447">
        <v>2301900</v>
      </c>
      <c r="K221" s="3448"/>
      <c r="L221" s="3590"/>
      <c r="M221" s="3591"/>
      <c r="V221" s="1169"/>
      <c r="W221" s="1169"/>
    </row>
    <row r="222" spans="1:23" s="44" customFormat="1" ht="10.5" customHeight="1">
      <c r="A222" s="43"/>
      <c r="C222" s="37" t="s">
        <v>3477</v>
      </c>
      <c r="D222" s="1592"/>
      <c r="G222" s="3585">
        <f>'Part IV-A-Uses of Funds'!$G$132</f>
        <v>13639318</v>
      </c>
      <c r="H222" s="3586"/>
      <c r="J222" s="3513">
        <f>IF($J221=0,0,$J221/$G$222)</f>
        <v>0.16876943553922563</v>
      </c>
      <c r="K222" s="3514"/>
      <c r="L222" s="3513">
        <f>IF($L221=0,0,$L221/$G$222)</f>
        <v>0</v>
      </c>
      <c r="M222" s="3514"/>
      <c r="V222" s="1169"/>
      <c r="W222" s="1169"/>
    </row>
    <row r="223" spans="1:23" s="105" customFormat="1" ht="10.5" customHeight="1" thickBot="1">
      <c r="A223" s="43"/>
      <c r="B223" s="1332" t="s">
        <v>3780</v>
      </c>
      <c r="C223" s="43"/>
      <c r="D223" s="49"/>
      <c r="E223" s="49"/>
      <c r="F223" s="49"/>
      <c r="G223" s="49"/>
      <c r="H223" s="37"/>
      <c r="I223" s="37"/>
      <c r="J223" s="37"/>
      <c r="K223" s="37"/>
      <c r="M223" s="47"/>
      <c r="N223" s="6"/>
      <c r="O223" s="3"/>
      <c r="P223" s="1584"/>
    </row>
    <row r="224" spans="1:23" s="44" customFormat="1" ht="132.6" customHeight="1" thickTop="1" thickBot="1">
      <c r="A224" s="3455" t="s">
        <v>4700</v>
      </c>
      <c r="B224" s="3456"/>
      <c r="C224" s="3456"/>
      <c r="D224" s="3456"/>
      <c r="E224" s="3456"/>
      <c r="F224" s="3456"/>
      <c r="G224" s="3456"/>
      <c r="H224" s="3456"/>
      <c r="I224" s="3456"/>
      <c r="J224" s="3456"/>
      <c r="K224" s="3456"/>
      <c r="L224" s="3456"/>
      <c r="M224" s="3456"/>
      <c r="N224" s="3456"/>
      <c r="O224" s="3456"/>
      <c r="P224" s="3457"/>
      <c r="Q224" s="1174" t="s">
        <v>1266</v>
      </c>
    </row>
    <row r="225" spans="1:23" s="105" customFormat="1" ht="11.45" customHeight="1" thickTop="1">
      <c r="A225" s="43"/>
      <c r="B225" s="100" t="s">
        <v>1880</v>
      </c>
      <c r="C225" s="43"/>
      <c r="D225" s="100"/>
      <c r="E225" s="1594"/>
      <c r="F225" s="1594"/>
      <c r="G225" s="1594"/>
      <c r="H225" s="1594"/>
      <c r="I225" s="1594"/>
      <c r="J225" s="1594"/>
      <c r="K225" s="1594"/>
      <c r="L225" s="1594"/>
      <c r="M225" s="1594"/>
      <c r="N225" s="96"/>
      <c r="O225" s="925"/>
      <c r="P225" s="1584"/>
      <c r="Q225" s="441"/>
    </row>
    <row r="226" spans="1:23" s="44" customFormat="1" ht="11.25" customHeight="1">
      <c r="A226" s="3159"/>
      <c r="B226" s="3160"/>
      <c r="C226" s="3160"/>
      <c r="D226" s="3160"/>
      <c r="E226" s="3160"/>
      <c r="F226" s="3160"/>
      <c r="G226" s="3160"/>
      <c r="H226" s="3160"/>
      <c r="I226" s="3160"/>
      <c r="J226" s="3160"/>
      <c r="K226" s="3160"/>
      <c r="L226" s="3160"/>
      <c r="M226" s="3160"/>
      <c r="N226" s="3160"/>
      <c r="O226" s="3160"/>
      <c r="P226" s="3161"/>
      <c r="Q226" s="461"/>
    </row>
    <row r="227" spans="1:23" s="44" customFormat="1" ht="3" customHeight="1" thickBot="1">
      <c r="A227" s="43"/>
      <c r="C227" s="1592"/>
      <c r="D227" s="1592"/>
      <c r="E227" s="1592"/>
      <c r="F227" s="1592"/>
      <c r="G227" s="1592"/>
      <c r="H227" s="1592"/>
      <c r="I227" s="1592"/>
      <c r="J227" s="1592"/>
      <c r="K227" s="1592"/>
      <c r="L227" s="1592"/>
      <c r="M227" s="1592"/>
      <c r="N227" s="77"/>
      <c r="O227" s="73"/>
      <c r="P227" s="941"/>
    </row>
    <row r="228" spans="1:23" s="44" customFormat="1" ht="13.5" customHeight="1" thickBot="1">
      <c r="A228" s="158" t="s">
        <v>428</v>
      </c>
      <c r="B228" s="109" t="s">
        <v>4056</v>
      </c>
      <c r="C228" s="1592"/>
      <c r="D228" s="1592"/>
      <c r="E228" s="1592"/>
      <c r="F228" s="1592"/>
      <c r="G228" s="1592"/>
      <c r="H228" s="1592"/>
      <c r="I228" s="1592"/>
      <c r="J228" s="1592"/>
      <c r="K228" s="1590" t="s">
        <v>3266</v>
      </c>
      <c r="L228" s="1590" t="s">
        <v>258</v>
      </c>
      <c r="M228" s="941">
        <v>3</v>
      </c>
      <c r="N228" s="77"/>
      <c r="O228" s="73"/>
      <c r="P228" s="1231"/>
      <c r="Q228" s="112" t="s">
        <v>443</v>
      </c>
      <c r="R228" s="1086" t="s">
        <v>2724</v>
      </c>
    </row>
    <row r="229" spans="1:23" s="44" customFormat="1" ht="11.25" customHeight="1">
      <c r="A229" s="143"/>
      <c r="B229" s="116" t="s">
        <v>4059</v>
      </c>
      <c r="D229" s="56" t="s">
        <v>4060</v>
      </c>
      <c r="K229" s="1293">
        <f>$O$189</f>
        <v>7</v>
      </c>
      <c r="L229" s="1294">
        <f>$P$189</f>
        <v>0</v>
      </c>
      <c r="N229" s="484" t="s">
        <v>2451</v>
      </c>
      <c r="O229" s="2193" t="s">
        <v>3010</v>
      </c>
      <c r="P229" s="1005"/>
      <c r="R229" s="391"/>
    </row>
    <row r="230" spans="1:23" s="44" customFormat="1" ht="11.25" customHeight="1">
      <c r="A230" s="143"/>
      <c r="D230" s="56" t="s">
        <v>4061</v>
      </c>
      <c r="K230" s="1293">
        <f>$O$111</f>
        <v>3</v>
      </c>
      <c r="L230" s="1294">
        <f>$P$111</f>
        <v>0</v>
      </c>
      <c r="N230" s="484" t="s">
        <v>2452</v>
      </c>
      <c r="O230" s="2196" t="s">
        <v>3010</v>
      </c>
      <c r="P230" s="562"/>
      <c r="R230" s="1169"/>
      <c r="S230" s="1169"/>
    </row>
    <row r="231" spans="1:23" s="44" customFormat="1" ht="11.25" customHeight="1">
      <c r="A231" s="143"/>
      <c r="D231" s="56" t="s">
        <v>4062</v>
      </c>
      <c r="N231" s="484" t="s">
        <v>2453</v>
      </c>
      <c r="O231" s="2192" t="s">
        <v>3010</v>
      </c>
      <c r="P231" s="562"/>
      <c r="R231" s="1169"/>
      <c r="S231" s="1169"/>
    </row>
    <row r="232" spans="1:23" s="44" customFormat="1" ht="11.25" customHeight="1">
      <c r="A232" s="143"/>
      <c r="D232" s="56" t="s">
        <v>4063</v>
      </c>
      <c r="N232" s="484" t="s">
        <v>2454</v>
      </c>
      <c r="O232" s="484"/>
      <c r="P232" s="962"/>
      <c r="R232" s="1169"/>
      <c r="S232" s="1169"/>
    </row>
    <row r="233" spans="1:23" s="44" customFormat="1" ht="11.25" customHeight="1">
      <c r="A233" s="143"/>
      <c r="D233" s="56" t="s">
        <v>4064</v>
      </c>
      <c r="N233" s="484" t="s">
        <v>2455</v>
      </c>
      <c r="O233" s="2209" t="s">
        <v>3013</v>
      </c>
      <c r="P233" s="563"/>
      <c r="R233" s="1169"/>
      <c r="S233" s="1169"/>
    </row>
    <row r="234" spans="1:23" s="44" customFormat="1" ht="3" customHeight="1">
      <c r="A234" s="43"/>
      <c r="C234" s="1592"/>
      <c r="D234" s="1592"/>
      <c r="E234" s="1592"/>
      <c r="F234" s="1592"/>
      <c r="G234" s="1592"/>
      <c r="H234" s="1592"/>
      <c r="I234" s="1592"/>
      <c r="J234" s="1592"/>
      <c r="K234" s="1592"/>
      <c r="L234" s="1592"/>
      <c r="M234" s="1592"/>
      <c r="N234" s="77"/>
      <c r="O234" s="73"/>
      <c r="P234" s="941"/>
    </row>
    <row r="235" spans="1:23" ht="11.45" customHeight="1">
      <c r="A235" s="143" t="s">
        <v>1999</v>
      </c>
      <c r="B235" s="184" t="s">
        <v>4066</v>
      </c>
      <c r="D235" s="34"/>
      <c r="G235" s="495" t="s">
        <v>3812</v>
      </c>
      <c r="N235" s="28"/>
      <c r="O235" s="28"/>
      <c r="P235" s="28"/>
      <c r="Q235" s="1099"/>
    </row>
    <row r="236" spans="1:23" s="34" customFormat="1" ht="10.5" customHeight="1">
      <c r="A236" s="532"/>
      <c r="B236" s="139" t="s">
        <v>3892</v>
      </c>
      <c r="D236" s="3458" t="s">
        <v>4727</v>
      </c>
      <c r="E236" s="3378"/>
      <c r="F236" s="3378"/>
      <c r="G236" s="3459"/>
      <c r="H236" s="3460"/>
      <c r="I236" s="1595" t="s">
        <v>2722</v>
      </c>
      <c r="J236" s="3458" t="s">
        <v>4702</v>
      </c>
      <c r="K236" s="3378"/>
      <c r="L236" s="3378"/>
      <c r="M236" s="3378"/>
      <c r="N236" s="3460"/>
      <c r="O236" s="605"/>
      <c r="P236" s="605"/>
      <c r="Q236" s="1099"/>
    </row>
    <row r="237" spans="1:23" s="34" customFormat="1" ht="10.5" customHeight="1">
      <c r="A237" s="532"/>
      <c r="B237" s="139" t="s">
        <v>2210</v>
      </c>
      <c r="D237" s="3450" t="s">
        <v>4559</v>
      </c>
      <c r="E237" s="3451"/>
      <c r="F237" s="3452"/>
      <c r="G237" s="139" t="s">
        <v>1734</v>
      </c>
      <c r="H237" s="2234" t="s">
        <v>4701</v>
      </c>
      <c r="I237" s="448" t="s">
        <v>1813</v>
      </c>
      <c r="J237" s="3450" t="s">
        <v>4561</v>
      </c>
      <c r="K237" s="3451"/>
      <c r="L237" s="3451"/>
      <c r="M237" s="3451"/>
      <c r="N237" s="3452"/>
      <c r="Q237" s="1099"/>
      <c r="V237" s="1169"/>
      <c r="W237" s="1169"/>
    </row>
    <row r="238" spans="1:23" ht="3" customHeight="1">
      <c r="A238" s="532"/>
      <c r="C238" s="1101"/>
      <c r="D238" s="1101"/>
      <c r="E238" s="1101"/>
      <c r="F238" s="1101"/>
      <c r="G238" s="1101"/>
      <c r="H238" s="1101"/>
      <c r="I238" s="1101"/>
      <c r="J238" s="1101"/>
      <c r="K238" s="1101"/>
      <c r="L238" s="1101"/>
      <c r="N238" s="28"/>
      <c r="O238" s="28"/>
      <c r="P238" s="28"/>
      <c r="Q238" s="1099"/>
    </row>
    <row r="239" spans="1:23" ht="10.5" customHeight="1">
      <c r="A239" s="532"/>
      <c r="B239" s="621" t="s">
        <v>2002</v>
      </c>
      <c r="C239" s="1101" t="s">
        <v>4065</v>
      </c>
      <c r="D239" s="1096"/>
      <c r="E239" s="1096"/>
      <c r="F239" s="1096"/>
      <c r="G239" s="1096"/>
      <c r="H239" s="1096"/>
      <c r="I239" s="1096"/>
      <c r="J239" s="1096"/>
      <c r="K239" s="1096"/>
      <c r="L239" s="1096"/>
      <c r="M239" s="1096"/>
      <c r="N239" s="1096"/>
      <c r="O239" s="540" t="s">
        <v>2527</v>
      </c>
      <c r="P239" s="540" t="s">
        <v>2527</v>
      </c>
      <c r="Q239" s="1096"/>
    </row>
    <row r="240" spans="1:23" s="34" customFormat="1" ht="21.75" customHeight="1">
      <c r="A240" s="1588"/>
      <c r="B240" s="655"/>
      <c r="C240" s="3385" t="s">
        <v>4076</v>
      </c>
      <c r="D240" s="3385"/>
      <c r="E240" s="3385"/>
      <c r="F240" s="3385"/>
      <c r="G240" s="3385"/>
      <c r="H240" s="3385"/>
      <c r="I240" s="3385"/>
      <c r="J240" s="3385"/>
      <c r="K240" s="3385"/>
      <c r="L240" s="3385"/>
      <c r="N240" s="404" t="s">
        <v>2002</v>
      </c>
      <c r="O240" s="2235" t="s">
        <v>3010</v>
      </c>
      <c r="P240" s="1262"/>
      <c r="Q240" s="1096"/>
      <c r="R240" s="28"/>
      <c r="S240" s="1177"/>
      <c r="V240" s="1169"/>
      <c r="W240" s="1169"/>
    </row>
    <row r="241" spans="1:23" s="34" customFormat="1" ht="10.5" customHeight="1">
      <c r="A241" s="532"/>
      <c r="B241" s="484" t="s">
        <v>2451</v>
      </c>
      <c r="C241" s="139" t="s">
        <v>4067</v>
      </c>
      <c r="D241" s="3376" t="s">
        <v>4703</v>
      </c>
      <c r="E241" s="3377"/>
      <c r="F241" s="3377"/>
      <c r="G241" s="3378"/>
      <c r="H241" s="3379"/>
      <c r="I241" s="1595" t="s">
        <v>2722</v>
      </c>
      <c r="J241" s="3376" t="s">
        <v>4706</v>
      </c>
      <c r="K241" s="3377"/>
      <c r="L241" s="3377"/>
      <c r="M241" s="3377"/>
      <c r="N241" s="3379"/>
      <c r="O241" s="3453" t="s">
        <v>4069</v>
      </c>
      <c r="P241" s="3454"/>
      <c r="Q241" s="1096"/>
      <c r="R241" s="28"/>
      <c r="V241" s="1169"/>
      <c r="W241" s="1169"/>
    </row>
    <row r="242" spans="1:23" s="34" customFormat="1" ht="10.5" customHeight="1">
      <c r="A242" s="532"/>
      <c r="C242" s="1179" t="s">
        <v>2210</v>
      </c>
      <c r="D242" s="3450" t="s">
        <v>4704</v>
      </c>
      <c r="E242" s="3451"/>
      <c r="F242" s="3452"/>
      <c r="G242" s="1260" t="s">
        <v>1734</v>
      </c>
      <c r="H242" s="2234" t="s">
        <v>4705</v>
      </c>
      <c r="I242" s="1178" t="s">
        <v>1813</v>
      </c>
      <c r="J242" s="3450" t="s">
        <v>4707</v>
      </c>
      <c r="K242" s="3451"/>
      <c r="L242" s="3451"/>
      <c r="M242" s="3451"/>
      <c r="N242" s="3452"/>
      <c r="O242" s="2192" t="s">
        <v>3010</v>
      </c>
      <c r="P242" s="563"/>
      <c r="Q242" s="1096"/>
      <c r="R242" s="28"/>
      <c r="V242" s="1169"/>
      <c r="W242" s="1169"/>
    </row>
    <row r="243" spans="1:23" s="34" customFormat="1" ht="10.5" customHeight="1">
      <c r="A243" s="532"/>
      <c r="B243" s="484" t="s">
        <v>2452</v>
      </c>
      <c r="C243" s="139" t="s">
        <v>4068</v>
      </c>
      <c r="D243" s="3376" t="s">
        <v>4708</v>
      </c>
      <c r="E243" s="3377"/>
      <c r="F243" s="3377"/>
      <c r="G243" s="3378"/>
      <c r="H243" s="3379"/>
      <c r="I243" s="1595" t="s">
        <v>2722</v>
      </c>
      <c r="J243" s="3376" t="s">
        <v>4711</v>
      </c>
      <c r="K243" s="3377"/>
      <c r="L243" s="3377"/>
      <c r="M243" s="3377"/>
      <c r="N243" s="3379"/>
      <c r="O243" s="3453" t="s">
        <v>4069</v>
      </c>
      <c r="P243" s="3454"/>
      <c r="Q243" s="1096"/>
      <c r="R243" s="28"/>
      <c r="V243" s="1169"/>
      <c r="W243" s="1169"/>
    </row>
    <row r="244" spans="1:23" s="34" customFormat="1" ht="10.5" customHeight="1">
      <c r="A244" s="532"/>
      <c r="C244" s="1179" t="s">
        <v>2210</v>
      </c>
      <c r="D244" s="3450" t="s">
        <v>4709</v>
      </c>
      <c r="E244" s="3451"/>
      <c r="F244" s="3452"/>
      <c r="G244" s="1260" t="s">
        <v>1734</v>
      </c>
      <c r="H244" s="2234" t="s">
        <v>4710</v>
      </c>
      <c r="I244" s="1178" t="s">
        <v>1813</v>
      </c>
      <c r="J244" s="3450" t="s">
        <v>4712</v>
      </c>
      <c r="K244" s="3451"/>
      <c r="L244" s="3451"/>
      <c r="M244" s="3451"/>
      <c r="N244" s="3452"/>
      <c r="O244" s="2192" t="s">
        <v>3010</v>
      </c>
      <c r="P244" s="563"/>
      <c r="Q244" s="1096"/>
      <c r="R244" s="28"/>
      <c r="V244" s="1169"/>
      <c r="W244" s="1169"/>
    </row>
    <row r="245" spans="1:23" ht="11.25" customHeight="1">
      <c r="A245" s="532"/>
      <c r="B245" s="621" t="s">
        <v>2004</v>
      </c>
      <c r="C245" s="1101" t="s">
        <v>4070</v>
      </c>
      <c r="D245" s="1096"/>
      <c r="E245" s="1096"/>
      <c r="F245" s="1096"/>
      <c r="G245" s="495" t="s">
        <v>3812</v>
      </c>
      <c r="H245" s="1096"/>
      <c r="I245" s="1096"/>
      <c r="J245" s="1096"/>
      <c r="K245" s="1096"/>
      <c r="L245" s="1096"/>
      <c r="M245" s="1096"/>
      <c r="N245" s="1096"/>
      <c r="O245" s="540" t="s">
        <v>2527</v>
      </c>
      <c r="P245" s="540" t="s">
        <v>2527</v>
      </c>
      <c r="Q245" s="1096"/>
    </row>
    <row r="246" spans="1:23" ht="21.75" customHeight="1">
      <c r="A246" s="532"/>
      <c r="B246" s="1103"/>
      <c r="C246" s="3197" t="s">
        <v>4185</v>
      </c>
      <c r="D246" s="3197"/>
      <c r="E246" s="3197"/>
      <c r="F246" s="3197"/>
      <c r="G246" s="3197"/>
      <c r="H246" s="3197"/>
      <c r="I246" s="3197"/>
      <c r="J246" s="3197"/>
      <c r="K246" s="3197"/>
      <c r="L246" s="3197"/>
      <c r="M246" s="3197"/>
      <c r="N246" s="404" t="s">
        <v>2004</v>
      </c>
      <c r="O246" s="2235" t="s">
        <v>3010</v>
      </c>
      <c r="P246" s="1262"/>
      <c r="Q246" s="1100"/>
      <c r="V246" s="1169"/>
      <c r="W246" s="1169"/>
    </row>
    <row r="247" spans="1:23" ht="11.25" customHeight="1">
      <c r="A247" s="532"/>
      <c r="B247" s="484" t="s">
        <v>2451</v>
      </c>
      <c r="C247" s="1105" t="s">
        <v>4186</v>
      </c>
      <c r="D247" s="1591"/>
      <c r="E247" s="1591"/>
      <c r="F247" s="1591"/>
      <c r="G247" s="1591"/>
      <c r="H247" s="1591"/>
      <c r="I247" s="1591"/>
      <c r="J247" s="1591"/>
      <c r="K247" s="1591"/>
      <c r="L247" s="1591"/>
      <c r="M247" s="1591"/>
      <c r="N247" s="1591"/>
      <c r="O247" s="1591"/>
      <c r="P247" s="1591"/>
      <c r="Q247" s="1100"/>
      <c r="V247" s="1169"/>
      <c r="W247" s="1169"/>
    </row>
    <row r="248" spans="1:23" ht="55.9" customHeight="1">
      <c r="A248" s="532"/>
      <c r="B248" s="34"/>
      <c r="C248" s="3372" t="s">
        <v>4713</v>
      </c>
      <c r="D248" s="3373"/>
      <c r="E248" s="3373"/>
      <c r="F248" s="3373"/>
      <c r="G248" s="3373"/>
      <c r="H248" s="3373"/>
      <c r="I248" s="3373"/>
      <c r="J248" s="3373"/>
      <c r="K248" s="3373"/>
      <c r="L248" s="3373"/>
      <c r="M248" s="3373"/>
      <c r="N248" s="3373"/>
      <c r="O248" s="3373"/>
      <c r="P248" s="3374"/>
      <c r="Q248" s="1174"/>
      <c r="V248" s="1169"/>
      <c r="W248" s="1169"/>
    </row>
    <row r="249" spans="1:23" ht="9.6" customHeight="1">
      <c r="A249" s="532"/>
      <c r="B249" s="1103"/>
      <c r="C249" s="3340"/>
      <c r="D249" s="3341"/>
      <c r="E249" s="3341"/>
      <c r="F249" s="3341"/>
      <c r="G249" s="3341"/>
      <c r="H249" s="3341"/>
      <c r="I249" s="3341"/>
      <c r="J249" s="3341"/>
      <c r="K249" s="3341"/>
      <c r="L249" s="3341"/>
      <c r="M249" s="3341"/>
      <c r="N249" s="3341"/>
      <c r="O249" s="3341"/>
      <c r="P249" s="3342"/>
      <c r="Q249" s="1100"/>
      <c r="V249" s="1169"/>
      <c r="W249" s="1169"/>
    </row>
    <row r="250" spans="1:23" ht="6" customHeight="1">
      <c r="A250" s="532"/>
      <c r="B250" s="1103"/>
      <c r="C250" s="3369"/>
      <c r="D250" s="3370"/>
      <c r="E250" s="3370"/>
      <c r="F250" s="3370"/>
      <c r="G250" s="3370"/>
      <c r="H250" s="3370"/>
      <c r="I250" s="3370"/>
      <c r="J250" s="3370"/>
      <c r="K250" s="3370"/>
      <c r="L250" s="3370"/>
      <c r="M250" s="3370"/>
      <c r="N250" s="3370"/>
      <c r="O250" s="3370"/>
      <c r="P250" s="3371"/>
      <c r="Q250" s="1100"/>
      <c r="V250" s="1169"/>
      <c r="W250" s="1169"/>
    </row>
    <row r="251" spans="1:23" ht="11.25" customHeight="1">
      <c r="A251" s="532"/>
      <c r="B251" s="484" t="s">
        <v>2452</v>
      </c>
      <c r="C251" s="1105" t="s">
        <v>4184</v>
      </c>
      <c r="D251" s="1591"/>
      <c r="E251" s="1591"/>
      <c r="F251" s="1591"/>
      <c r="G251" s="1591"/>
      <c r="H251" s="1591"/>
      <c r="I251" s="1591"/>
      <c r="J251" s="1591"/>
      <c r="K251" s="1591"/>
      <c r="L251" s="3386" t="s">
        <v>4188</v>
      </c>
      <c r="M251" s="3386"/>
      <c r="N251" s="3387" t="s">
        <v>4189</v>
      </c>
      <c r="O251" s="3387"/>
      <c r="P251" s="3387"/>
      <c r="Q251" s="1100"/>
      <c r="V251" s="1169"/>
      <c r="W251" s="1169"/>
    </row>
    <row r="252" spans="1:23" ht="10.5" customHeight="1">
      <c r="A252" s="532"/>
      <c r="B252" s="1103"/>
      <c r="C252" s="3372" t="s">
        <v>979</v>
      </c>
      <c r="D252" s="3373"/>
      <c r="E252" s="3373"/>
      <c r="F252" s="3373"/>
      <c r="G252" s="3373"/>
      <c r="H252" s="3373"/>
      <c r="I252" s="3373"/>
      <c r="J252" s="3373"/>
      <c r="K252" s="3374"/>
      <c r="L252" s="3372"/>
      <c r="M252" s="3374"/>
      <c r="N252" s="3372"/>
      <c r="O252" s="3373"/>
      <c r="P252" s="3374"/>
      <c r="Q252" s="1174"/>
      <c r="V252" s="1169"/>
      <c r="W252" s="1169"/>
    </row>
    <row r="253" spans="1:23" ht="10.5" customHeight="1">
      <c r="A253" s="532"/>
      <c r="B253" s="1103"/>
      <c r="C253" s="3340"/>
      <c r="D253" s="3341"/>
      <c r="E253" s="3341"/>
      <c r="F253" s="3341"/>
      <c r="G253" s="3341"/>
      <c r="H253" s="3341"/>
      <c r="I253" s="3341"/>
      <c r="J253" s="3341"/>
      <c r="K253" s="3342"/>
      <c r="L253" s="3340"/>
      <c r="M253" s="3342"/>
      <c r="N253" s="3340"/>
      <c r="O253" s="3341"/>
      <c r="P253" s="3342"/>
      <c r="Q253" s="1100"/>
      <c r="V253" s="1169"/>
      <c r="W253" s="1169"/>
    </row>
    <row r="254" spans="1:23" ht="10.5" customHeight="1">
      <c r="A254" s="532"/>
      <c r="B254" s="1103"/>
      <c r="C254" s="3369"/>
      <c r="D254" s="3370"/>
      <c r="E254" s="3370"/>
      <c r="F254" s="3370"/>
      <c r="G254" s="3370"/>
      <c r="H254" s="3370"/>
      <c r="I254" s="3370"/>
      <c r="J254" s="3370"/>
      <c r="K254" s="3371"/>
      <c r="L254" s="3369"/>
      <c r="M254" s="3371"/>
      <c r="N254" s="3369"/>
      <c r="O254" s="3370"/>
      <c r="P254" s="3371"/>
      <c r="Q254" s="1100"/>
      <c r="V254" s="1169"/>
      <c r="W254" s="1169"/>
    </row>
    <row r="255" spans="1:23" ht="10.5" customHeight="1">
      <c r="A255" s="532"/>
      <c r="B255" s="621" t="s">
        <v>2551</v>
      </c>
      <c r="C255" s="1101" t="s">
        <v>4071</v>
      </c>
      <c r="D255" s="1096"/>
      <c r="E255" s="1096"/>
      <c r="F255" s="1096"/>
      <c r="G255" s="1096"/>
      <c r="H255" s="1096"/>
      <c r="I255" s="1096"/>
      <c r="J255" s="1096"/>
      <c r="K255" s="1096"/>
      <c r="L255" s="1096"/>
      <c r="M255" s="1096"/>
      <c r="N255" s="1096"/>
      <c r="O255" s="540"/>
      <c r="P255" s="540"/>
      <c r="Q255" s="1096"/>
    </row>
    <row r="256" spans="1:23" s="34" customFormat="1" ht="10.5" customHeight="1">
      <c r="A256" s="532"/>
      <c r="B256" s="1104"/>
      <c r="C256" s="3385" t="s">
        <v>4075</v>
      </c>
      <c r="D256" s="3385"/>
      <c r="E256" s="3385"/>
      <c r="F256" s="3385"/>
      <c r="G256" s="3385"/>
      <c r="H256" s="3385"/>
      <c r="I256" s="3385"/>
      <c r="J256" s="3385"/>
      <c r="K256" s="3385"/>
      <c r="L256" s="3385"/>
      <c r="M256" s="3385"/>
      <c r="N256" s="404" t="s">
        <v>2551</v>
      </c>
      <c r="O256" s="2209" t="s">
        <v>4601</v>
      </c>
      <c r="P256" s="560"/>
      <c r="Q256" s="1100"/>
      <c r="V256" s="1169"/>
      <c r="W256" s="1169"/>
    </row>
    <row r="257" spans="1:23" ht="10.5" customHeight="1">
      <c r="A257" s="143"/>
      <c r="B257" s="942" t="s">
        <v>1236</v>
      </c>
      <c r="C257" s="618" t="s">
        <v>3815</v>
      </c>
      <c r="D257" s="34"/>
      <c r="N257" s="28"/>
      <c r="O257" s="28"/>
      <c r="P257" s="28"/>
      <c r="Q257" s="117"/>
    </row>
    <row r="258" spans="1:23" s="34" customFormat="1" ht="21.75" customHeight="1">
      <c r="A258" s="532"/>
      <c r="B258" s="1104"/>
      <c r="C258" s="3306" t="s">
        <v>4077</v>
      </c>
      <c r="D258" s="3306"/>
      <c r="E258" s="3306"/>
      <c r="F258" s="3306"/>
      <c r="G258" s="3306"/>
      <c r="H258" s="3306"/>
      <c r="I258" s="3306"/>
      <c r="J258" s="3306"/>
      <c r="K258" s="3306"/>
      <c r="L258" s="3306"/>
      <c r="M258" s="3306"/>
      <c r="N258" s="404" t="s">
        <v>1236</v>
      </c>
      <c r="O258" s="2236" t="s">
        <v>3010</v>
      </c>
      <c r="P258" s="1261"/>
      <c r="Q258" s="1100"/>
      <c r="V258" s="1169"/>
      <c r="W258" s="1169"/>
    </row>
    <row r="259" spans="1:23" s="34" customFormat="1" ht="10.5" customHeight="1">
      <c r="A259" s="532"/>
      <c r="B259" s="401" t="s">
        <v>2451</v>
      </c>
      <c r="C259" s="3385" t="s">
        <v>4078</v>
      </c>
      <c r="D259" s="3385"/>
      <c r="E259" s="3385"/>
      <c r="F259" s="3385"/>
      <c r="G259" s="3385"/>
      <c r="H259" s="3385"/>
      <c r="I259" s="3385"/>
      <c r="J259" s="3385"/>
      <c r="K259" s="3385"/>
      <c r="L259" s="3385"/>
      <c r="M259" s="3385"/>
      <c r="N259" s="401" t="s">
        <v>2451</v>
      </c>
      <c r="O259" s="2196" t="s">
        <v>3010</v>
      </c>
      <c r="P259" s="562"/>
      <c r="Q259" s="1100"/>
      <c r="V259" s="1169"/>
      <c r="W259" s="1169"/>
    </row>
    <row r="260" spans="1:23" s="34" customFormat="1" ht="10.5" customHeight="1">
      <c r="A260" s="532"/>
      <c r="B260" s="401" t="s">
        <v>2452</v>
      </c>
      <c r="C260" s="3385" t="s">
        <v>4079</v>
      </c>
      <c r="D260" s="3385"/>
      <c r="E260" s="3385"/>
      <c r="F260" s="3385"/>
      <c r="G260" s="3385"/>
      <c r="H260" s="3385"/>
      <c r="I260" s="3385"/>
      <c r="J260" s="3385"/>
      <c r="K260" s="3385"/>
      <c r="L260" s="3385"/>
      <c r="M260" s="3385"/>
      <c r="N260" s="401" t="s">
        <v>2452</v>
      </c>
      <c r="O260" s="2192" t="s">
        <v>3010</v>
      </c>
      <c r="P260" s="563"/>
      <c r="Q260" s="1100"/>
      <c r="V260" s="1169"/>
      <c r="W260" s="1169"/>
    </row>
    <row r="261" spans="1:23" ht="1.5" customHeight="1">
      <c r="B261" s="390"/>
      <c r="C261" s="446"/>
      <c r="G261" s="495"/>
      <c r="H261" s="164"/>
      <c r="L261" s="1605"/>
      <c r="M261" s="1605"/>
      <c r="N261" s="28"/>
      <c r="O261" s="28"/>
      <c r="P261" s="28"/>
      <c r="Q261" s="1100"/>
      <c r="V261" s="1169"/>
      <c r="W261" s="1169"/>
    </row>
    <row r="262" spans="1:23" ht="11.45" customHeight="1">
      <c r="A262" s="143" t="s">
        <v>2001</v>
      </c>
      <c r="B262" s="184" t="s">
        <v>4072</v>
      </c>
      <c r="D262" s="34"/>
      <c r="G262" s="495" t="s">
        <v>3812</v>
      </c>
      <c r="N262" s="28"/>
      <c r="O262" s="540" t="s">
        <v>2527</v>
      </c>
      <c r="P262" s="540" t="s">
        <v>2527</v>
      </c>
      <c r="Q262" s="1099"/>
    </row>
    <row r="263" spans="1:23" ht="21.75" customHeight="1">
      <c r="A263" s="532"/>
      <c r="B263" s="621" t="s">
        <v>2002</v>
      </c>
      <c r="C263" s="3197" t="s">
        <v>4073</v>
      </c>
      <c r="D263" s="3197"/>
      <c r="E263" s="3197"/>
      <c r="F263" s="3197"/>
      <c r="G263" s="3197"/>
      <c r="H263" s="3197"/>
      <c r="I263" s="3197"/>
      <c r="J263" s="3197"/>
      <c r="K263" s="3197"/>
      <c r="L263" s="3197"/>
      <c r="M263" s="1232" t="s">
        <v>2001</v>
      </c>
      <c r="N263" s="404" t="s">
        <v>2002</v>
      </c>
      <c r="O263" s="2236" t="s">
        <v>3010</v>
      </c>
      <c r="P263" s="1261"/>
      <c r="Q263" s="1099"/>
      <c r="V263" s="1169"/>
      <c r="W263" s="1169"/>
    </row>
    <row r="264" spans="1:23" s="34" customFormat="1" ht="10.5" customHeight="1">
      <c r="A264" s="532"/>
      <c r="B264" s="621" t="s">
        <v>2004</v>
      </c>
      <c r="C264" s="448" t="s">
        <v>4074</v>
      </c>
      <c r="D264" s="1041"/>
      <c r="E264" s="1041"/>
      <c r="F264" s="1041"/>
      <c r="G264" s="1041"/>
      <c r="H264" s="1041"/>
      <c r="I264" s="1041"/>
      <c r="J264" s="1041"/>
      <c r="K264" s="1041"/>
      <c r="L264" s="1041"/>
      <c r="M264" s="1041"/>
      <c r="N264" s="404" t="s">
        <v>2004</v>
      </c>
      <c r="O264" s="2192" t="s">
        <v>3010</v>
      </c>
      <c r="P264" s="563"/>
      <c r="Q264" s="1100"/>
      <c r="V264" s="1353"/>
      <c r="W264" s="1353"/>
    </row>
    <row r="265" spans="1:23" s="44" customFormat="1" ht="12" customHeight="1" thickBot="1">
      <c r="A265" s="43"/>
      <c r="B265" s="1332" t="s">
        <v>3780</v>
      </c>
      <c r="C265" s="43"/>
      <c r="D265" s="49"/>
      <c r="E265" s="49"/>
      <c r="F265" s="49"/>
      <c r="G265" s="49"/>
      <c r="H265" s="37"/>
      <c r="I265" s="139"/>
      <c r="M265" s="47"/>
      <c r="N265" s="63"/>
      <c r="O265" s="3"/>
      <c r="P265" s="1587"/>
    </row>
    <row r="266" spans="1:23" s="44" customFormat="1" ht="248.45" customHeight="1" thickTop="1" thickBot="1">
      <c r="A266" s="3360" t="s">
        <v>4732</v>
      </c>
      <c r="B266" s="3361"/>
      <c r="C266" s="3361"/>
      <c r="D266" s="3361"/>
      <c r="E266" s="3361"/>
      <c r="F266" s="3361"/>
      <c r="G266" s="3361"/>
      <c r="H266" s="3361"/>
      <c r="I266" s="3361"/>
      <c r="J266" s="3361"/>
      <c r="K266" s="3361"/>
      <c r="L266" s="3361"/>
      <c r="M266" s="3361"/>
      <c r="N266" s="3361"/>
      <c r="O266" s="3361"/>
      <c r="P266" s="3362"/>
      <c r="Q266" s="1174" t="s">
        <v>1266</v>
      </c>
    </row>
    <row r="267" spans="1:23" s="44" customFormat="1" ht="10.5" customHeight="1" thickTop="1">
      <c r="A267" s="43"/>
      <c r="B267" s="88" t="s">
        <v>1880</v>
      </c>
      <c r="C267" s="43"/>
      <c r="D267" s="88"/>
      <c r="E267" s="1592"/>
      <c r="F267" s="1592"/>
      <c r="G267" s="1592"/>
      <c r="H267" s="1592"/>
      <c r="I267" s="1592"/>
      <c r="J267" s="1592"/>
      <c r="K267" s="1592"/>
      <c r="L267" s="1592"/>
      <c r="M267" s="1592"/>
      <c r="N267" s="77"/>
      <c r="O267" s="73"/>
      <c r="P267" s="1584"/>
      <c r="Q267" s="441"/>
    </row>
    <row r="268" spans="1:23" s="44" customFormat="1" ht="11.25" customHeight="1">
      <c r="A268" s="3308"/>
      <c r="B268" s="3309"/>
      <c r="C268" s="3309"/>
      <c r="D268" s="3309"/>
      <c r="E268" s="3309"/>
      <c r="F268" s="3309"/>
      <c r="G268" s="3309"/>
      <c r="H268" s="3309"/>
      <c r="I268" s="3309"/>
      <c r="J268" s="3309"/>
      <c r="K268" s="3309"/>
      <c r="L268" s="3309"/>
      <c r="M268" s="3309"/>
      <c r="N268" s="3309"/>
      <c r="O268" s="3309"/>
      <c r="P268" s="3310"/>
      <c r="Q268" s="461"/>
    </row>
    <row r="269" spans="1:23" ht="3.6" customHeight="1" thickBot="1">
      <c r="B269" s="120"/>
      <c r="C269" s="120"/>
      <c r="D269" s="120"/>
      <c r="E269" s="120"/>
    </row>
    <row r="270" spans="1:23" s="105" customFormat="1" ht="12.6" customHeight="1" thickBot="1">
      <c r="A270" s="158" t="s">
        <v>364</v>
      </c>
      <c r="B270" s="109" t="s">
        <v>2804</v>
      </c>
      <c r="C270" s="95"/>
      <c r="D270" s="60"/>
      <c r="E270" s="60"/>
      <c r="H270" s="179" t="s">
        <v>4231</v>
      </c>
      <c r="M270" s="1584">
        <v>7</v>
      </c>
      <c r="N270" s="7"/>
      <c r="O270" s="1252">
        <f>O272+O280+O282</f>
        <v>0</v>
      </c>
      <c r="P270" s="1252">
        <f>P272+P280+P282</f>
        <v>0</v>
      </c>
      <c r="Q270" s="112" t="s">
        <v>443</v>
      </c>
      <c r="R270" s="44"/>
    </row>
    <row r="271" spans="1:23" s="105" customFormat="1" ht="1.5" customHeight="1">
      <c r="A271" s="158"/>
      <c r="B271" s="109"/>
      <c r="C271" s="95"/>
      <c r="D271" s="60"/>
      <c r="E271" s="60"/>
      <c r="H271" s="179"/>
      <c r="M271" s="619"/>
      <c r="Q271" s="112"/>
      <c r="R271" s="44"/>
    </row>
    <row r="272" spans="1:23" s="105" customFormat="1" ht="11.25" customHeight="1">
      <c r="A272" s="3446" t="s">
        <v>3626</v>
      </c>
      <c r="B272" s="921" t="s">
        <v>3624</v>
      </c>
      <c r="C272" s="95"/>
      <c r="D272" s="60"/>
      <c r="E272" s="60"/>
      <c r="H272" s="179"/>
      <c r="M272" s="1235">
        <v>3</v>
      </c>
      <c r="N272" s="3382" t="s">
        <v>4083</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558"/>
      <c r="Q272" s="112"/>
      <c r="R272" s="44"/>
    </row>
    <row r="273" spans="1:21" ht="11.45" customHeight="1">
      <c r="A273" s="3446"/>
      <c r="B273" s="113" t="s">
        <v>2812</v>
      </c>
      <c r="C273" s="536"/>
      <c r="D273" s="536"/>
      <c r="H273" s="537" t="str">
        <f>'Part I-Project Information'!$H$100</f>
        <v>Flexible</v>
      </c>
      <c r="N273" s="3382"/>
      <c r="O273" s="1297" t="s">
        <v>2527</v>
      </c>
      <c r="P273" s="1297" t="s">
        <v>2527</v>
      </c>
    </row>
    <row r="274" spans="1:21" ht="11.45" customHeight="1">
      <c r="A274" s="3446"/>
      <c r="B274" s="942" t="s">
        <v>2002</v>
      </c>
      <c r="C274" s="454" t="s">
        <v>2702</v>
      </c>
      <c r="E274" s="120"/>
      <c r="M274" s="83"/>
      <c r="N274" s="3382"/>
      <c r="O274" s="2209" t="s">
        <v>4601</v>
      </c>
      <c r="P274" s="560"/>
      <c r="Q274" s="3375" t="str">
        <f>IF(AND(O274="Yes",O277="Yes"),"Only 1 or 4 can be 'Yes'!","")</f>
        <v/>
      </c>
      <c r="R274" s="3375"/>
    </row>
    <row r="275" spans="1:21" ht="11.45" customHeight="1">
      <c r="B275" s="942" t="s">
        <v>2004</v>
      </c>
      <c r="C275" s="454" t="s">
        <v>2757</v>
      </c>
      <c r="G275" s="103" t="s">
        <v>2405</v>
      </c>
      <c r="H275" s="2237" t="s">
        <v>3805</v>
      </c>
      <c r="I275" s="454" t="s">
        <v>2758</v>
      </c>
      <c r="L275" s="139" t="s">
        <v>2756</v>
      </c>
      <c r="M275" s="944" t="str">
        <f>IF(O275&gt;H275,"CHECK ACTUAL PERCENT!!!","")</f>
        <v/>
      </c>
      <c r="N275" s="181" t="s">
        <v>2004</v>
      </c>
      <c r="O275" s="2238"/>
      <c r="P275" s="1287"/>
      <c r="Q275" s="3375"/>
      <c r="R275" s="3375"/>
    </row>
    <row r="276" spans="1:21" ht="11.45" customHeight="1">
      <c r="B276" s="942" t="s">
        <v>2551</v>
      </c>
      <c r="C276" s="430" t="s">
        <v>2406</v>
      </c>
      <c r="E276" s="120"/>
      <c r="G276" s="103" t="s">
        <v>2407</v>
      </c>
      <c r="L276" s="448" t="s">
        <v>2750</v>
      </c>
      <c r="M276" s="34"/>
      <c r="N276" s="181" t="s">
        <v>2551</v>
      </c>
      <c r="O276" s="2239" t="s">
        <v>203</v>
      </c>
      <c r="P276" s="1357" t="s">
        <v>203</v>
      </c>
      <c r="Q276" s="3375"/>
      <c r="R276" s="3375"/>
    </row>
    <row r="277" spans="1:21" s="406" customFormat="1" ht="11.45" customHeight="1">
      <c r="B277" s="621" t="s">
        <v>1236</v>
      </c>
      <c r="C277" s="3197" t="s">
        <v>4081</v>
      </c>
      <c r="D277" s="3197"/>
      <c r="E277" s="3197"/>
      <c r="F277" s="3197"/>
      <c r="G277" s="3197"/>
      <c r="H277" s="3197"/>
      <c r="I277" s="3197"/>
      <c r="J277" s="3380" t="s">
        <v>4082</v>
      </c>
      <c r="K277" s="3380" t="s">
        <v>4080</v>
      </c>
      <c r="M277" s="1236">
        <v>2</v>
      </c>
      <c r="N277" s="181" t="s">
        <v>1236</v>
      </c>
      <c r="O277" s="2235"/>
      <c r="P277" s="1262"/>
      <c r="Q277" s="3375"/>
      <c r="R277" s="3375"/>
    </row>
    <row r="278" spans="1:21" ht="11.45" customHeight="1">
      <c r="B278" s="389"/>
      <c r="C278" s="3197"/>
      <c r="D278" s="3197"/>
      <c r="E278" s="3197"/>
      <c r="F278" s="3197"/>
      <c r="G278" s="3197"/>
      <c r="H278" s="3197"/>
      <c r="I278" s="3197"/>
      <c r="J278" s="3381"/>
      <c r="K278" s="3381"/>
      <c r="L278" s="3383" t="s">
        <v>4145</v>
      </c>
      <c r="M278" s="3384"/>
      <c r="N278" s="120"/>
    </row>
    <row r="279" spans="1:21" ht="11.45" customHeight="1">
      <c r="B279" s="389"/>
      <c r="C279" s="3197"/>
      <c r="D279" s="3197"/>
      <c r="E279" s="3197"/>
      <c r="F279" s="3197"/>
      <c r="G279" s="3197"/>
      <c r="H279" s="3197"/>
      <c r="I279" s="3197"/>
      <c r="J279" s="2240"/>
      <c r="K279" s="2241"/>
      <c r="L279" s="1233">
        <f>O57</f>
        <v>10</v>
      </c>
      <c r="M279" s="1234">
        <f>P57</f>
        <v>0</v>
      </c>
      <c r="N279" s="28"/>
    </row>
    <row r="280" spans="1:21" ht="11.45" customHeight="1">
      <c r="A280" s="539" t="s">
        <v>757</v>
      </c>
      <c r="B280" s="942" t="s">
        <v>3625</v>
      </c>
      <c r="C280" s="430"/>
      <c r="E280" s="120"/>
      <c r="G280" s="103"/>
      <c r="M280" s="1235">
        <v>2</v>
      </c>
      <c r="N280" s="1237" t="s">
        <v>757</v>
      </c>
      <c r="O280" s="946">
        <f>IF(OR(O281="A1",O281="A2",O281="A3",O281="B1",O281="B2",O281="C1"),2,IF(OR(O281="B3",O281="C2"),1,0))</f>
        <v>0</v>
      </c>
      <c r="P280" s="946">
        <f>IF(OR(P281="A1",P281="A2",P281="A3",P281="B1",P281="B2",P281="C1"),2,IF(OR(P281="B3",P281="C2"),1,0))</f>
        <v>0</v>
      </c>
    </row>
    <row r="281" spans="1:21" ht="11.45" customHeight="1">
      <c r="A281" s="539"/>
      <c r="B281" s="1290" t="s">
        <v>3629</v>
      </c>
      <c r="C281" s="1290"/>
      <c r="D281" s="1290"/>
      <c r="E281" s="1290"/>
      <c r="F281" s="1290"/>
      <c r="G281" s="1290"/>
      <c r="H281" s="1288"/>
      <c r="I281" s="1288"/>
      <c r="O281" s="2242" t="s">
        <v>203</v>
      </c>
      <c r="P281" s="1289" t="s">
        <v>203</v>
      </c>
    </row>
    <row r="282" spans="1:21" ht="11.45" customHeight="1">
      <c r="A282" s="539" t="s">
        <v>2131</v>
      </c>
      <c r="B282" s="942" t="s">
        <v>3627</v>
      </c>
      <c r="C282" s="430"/>
      <c r="E282" s="120"/>
      <c r="G282" s="495" t="s">
        <v>3628</v>
      </c>
      <c r="H282" s="943">
        <f>'Part VI-Revenues &amp; Expenses'!$O$59</f>
        <v>0</v>
      </c>
      <c r="I282" s="1097" t="s">
        <v>3631</v>
      </c>
      <c r="J282" s="943">
        <f>'Part VI-Revenues &amp; Expenses'!$O$62</f>
        <v>65</v>
      </c>
      <c r="K282" s="1097" t="s">
        <v>3632</v>
      </c>
      <c r="L282" s="945">
        <f>IF(J282=0,0,H282/J282)</f>
        <v>0</v>
      </c>
      <c r="M282" s="1235">
        <v>2</v>
      </c>
      <c r="N282" s="1227" t="s">
        <v>2131</v>
      </c>
      <c r="O282" s="79">
        <f>IF(AND($H$273="Flexible",($O$272+$O$280)&gt;=3,$L$282&gt;=20%),2,IF(AND($H$273="Flexible",($O$272+$O$280)&gt;=3,$L$282&gt;=15%),1,0))</f>
        <v>0</v>
      </c>
      <c r="P282" s="79">
        <f>IF(AND($H$273="Flexible",($O$272+$O$280)&gt;=3,$L$282&gt;=20%),2,IF(AND($H$273="Flexible",($O$272+$O$280)&gt;=3,$L$282&gt;=15%),1,0))</f>
        <v>0</v>
      </c>
    </row>
    <row r="283" spans="1:21" s="44" customFormat="1" ht="10.5" customHeight="1">
      <c r="A283" s="43"/>
      <c r="B283" s="88" t="s">
        <v>1880</v>
      </c>
      <c r="C283" s="43"/>
      <c r="D283" s="88"/>
      <c r="E283" s="1592"/>
      <c r="F283" s="1592"/>
      <c r="G283" s="1592"/>
      <c r="H283" s="1592"/>
      <c r="I283" s="1592"/>
      <c r="J283" s="1592"/>
      <c r="K283" s="1592"/>
      <c r="L283" s="1592"/>
      <c r="M283" s="1592"/>
      <c r="N283" s="77"/>
      <c r="O283" s="73"/>
      <c r="P283" s="1584"/>
      <c r="Q283" s="441"/>
    </row>
    <row r="284" spans="1:21" s="44" customFormat="1" ht="11.25" customHeight="1">
      <c r="A284" s="3308"/>
      <c r="B284" s="3309"/>
      <c r="C284" s="3309"/>
      <c r="D284" s="3309"/>
      <c r="E284" s="3309"/>
      <c r="F284" s="3309"/>
      <c r="G284" s="3309"/>
      <c r="H284" s="3309"/>
      <c r="I284" s="3309"/>
      <c r="J284" s="3309"/>
      <c r="K284" s="3309"/>
      <c r="L284" s="3309"/>
      <c r="M284" s="3309"/>
      <c r="N284" s="3309"/>
      <c r="O284" s="3309"/>
      <c r="P284" s="3310"/>
      <c r="Q284" s="461"/>
    </row>
    <row r="285" spans="1:21" s="44" customFormat="1" ht="3" customHeight="1" thickBot="1">
      <c r="A285" s="43"/>
      <c r="D285" s="40"/>
      <c r="E285" s="37"/>
      <c r="F285" s="941"/>
      <c r="G285" s="941"/>
      <c r="H285" s="941"/>
      <c r="I285" s="941"/>
      <c r="J285" s="956"/>
      <c r="K285" s="956"/>
      <c r="L285" s="956"/>
      <c r="M285" s="61"/>
      <c r="N285" s="941"/>
      <c r="O285" s="1587"/>
      <c r="P285" s="3"/>
    </row>
    <row r="286" spans="1:21" s="105" customFormat="1" ht="12.6" customHeight="1" thickBot="1">
      <c r="A286" s="158" t="s">
        <v>365</v>
      </c>
      <c r="B286" s="109" t="s">
        <v>4084</v>
      </c>
      <c r="C286" s="95"/>
      <c r="D286" s="60"/>
      <c r="E286" s="60"/>
      <c r="H286" s="179"/>
      <c r="I286" s="447" t="s">
        <v>3828</v>
      </c>
      <c r="M286" s="1584">
        <v>10</v>
      </c>
      <c r="N286" s="7"/>
      <c r="O286" s="1194">
        <f>IF(OR(O287="Yes",O288="Yes"),$M$286,0)</f>
        <v>0</v>
      </c>
      <c r="P286" s="1194">
        <f>IF(OR(P287="Yes",P288="Yes"),$M$286,0)</f>
        <v>0</v>
      </c>
      <c r="Q286" s="112" t="s">
        <v>443</v>
      </c>
      <c r="R286" s="44"/>
    </row>
    <row r="287" spans="1:21" ht="11.25" customHeight="1">
      <c r="A287" s="1585" t="s">
        <v>1999</v>
      </c>
      <c r="B287" s="1238" t="s">
        <v>3819</v>
      </c>
      <c r="D287" s="655"/>
      <c r="E287" s="655"/>
      <c r="F287" s="655"/>
      <c r="G287" s="655"/>
      <c r="H287" s="655"/>
      <c r="I287" s="655"/>
      <c r="J287" s="655"/>
      <c r="K287" s="655"/>
      <c r="L287" s="1105"/>
      <c r="M287" s="3519" t="str">
        <f>IF(OR(SUM(T287:T288)&gt;1,SUM(U287:U288)&gt;1),"Only one category can be met by other means!","")</f>
        <v/>
      </c>
      <c r="N287" s="484" t="s">
        <v>1999</v>
      </c>
      <c r="O287" s="2193" t="s">
        <v>3013</v>
      </c>
      <c r="P287" s="561"/>
      <c r="U287" s="1355">
        <f>IF(L287="Yes",1,0)</f>
        <v>0</v>
      </c>
    </row>
    <row r="288" spans="1:21" ht="11.25" customHeight="1">
      <c r="A288" s="1585" t="s">
        <v>2001</v>
      </c>
      <c r="B288" s="1238" t="s">
        <v>3820</v>
      </c>
      <c r="D288" s="655"/>
      <c r="L288" s="1105"/>
      <c r="M288" s="3519"/>
      <c r="N288" s="484" t="s">
        <v>2001</v>
      </c>
      <c r="O288" s="2192" t="s">
        <v>3013</v>
      </c>
      <c r="P288" s="563"/>
      <c r="U288" s="1355">
        <f>IF(L288="Yes",1,0)</f>
        <v>0</v>
      </c>
    </row>
    <row r="289" spans="1:27" s="44" customFormat="1" ht="10.5" customHeight="1" thickBot="1">
      <c r="A289" s="43"/>
      <c r="B289" s="1332" t="s">
        <v>3780</v>
      </c>
      <c r="C289" s="43"/>
      <c r="D289" s="49"/>
      <c r="E289" s="49"/>
      <c r="F289" s="49"/>
      <c r="G289" s="49"/>
      <c r="H289" s="37"/>
      <c r="I289" s="37"/>
      <c r="J289" s="37"/>
      <c r="K289" s="37"/>
      <c r="M289" s="47"/>
      <c r="N289" s="63"/>
      <c r="O289" s="3"/>
      <c r="P289" s="1587"/>
    </row>
    <row r="290" spans="1:27" s="44" customFormat="1" ht="21.75" customHeight="1" thickTop="1" thickBot="1">
      <c r="A290" s="3455" t="s">
        <v>4714</v>
      </c>
      <c r="B290" s="3456"/>
      <c r="C290" s="3456"/>
      <c r="D290" s="3456"/>
      <c r="E290" s="3456"/>
      <c r="F290" s="3456"/>
      <c r="G290" s="3456"/>
      <c r="H290" s="3456"/>
      <c r="I290" s="3456"/>
      <c r="J290" s="3456"/>
      <c r="K290" s="3456"/>
      <c r="L290" s="3456"/>
      <c r="M290" s="3456"/>
      <c r="N290" s="3456"/>
      <c r="O290" s="3456"/>
      <c r="P290" s="3457"/>
      <c r="Q290" s="1174" t="s">
        <v>1266</v>
      </c>
    </row>
    <row r="291" spans="1:27" s="44" customFormat="1" ht="10.5" customHeight="1" thickTop="1">
      <c r="A291" s="43"/>
      <c r="B291" s="88" t="s">
        <v>1880</v>
      </c>
      <c r="C291" s="43"/>
      <c r="D291" s="88"/>
      <c r="E291" s="1592"/>
      <c r="F291" s="1592"/>
      <c r="G291" s="1592"/>
      <c r="H291" s="1592"/>
      <c r="I291" s="1592"/>
      <c r="J291" s="1592"/>
      <c r="K291" s="1592"/>
      <c r="L291" s="1592"/>
      <c r="M291" s="1592"/>
      <c r="N291" s="77"/>
      <c r="O291" s="73"/>
      <c r="P291" s="1584"/>
      <c r="Q291" s="441"/>
    </row>
    <row r="292" spans="1:27" s="44" customFormat="1" ht="11.25" customHeight="1">
      <c r="A292" s="3308"/>
      <c r="B292" s="3309"/>
      <c r="C292" s="3309"/>
      <c r="D292" s="3309"/>
      <c r="E292" s="3309"/>
      <c r="F292" s="3309"/>
      <c r="G292" s="3309"/>
      <c r="H292" s="3309"/>
      <c r="I292" s="3309"/>
      <c r="J292" s="3309"/>
      <c r="K292" s="3309"/>
      <c r="L292" s="3309"/>
      <c r="M292" s="3309"/>
      <c r="N292" s="3309"/>
      <c r="O292" s="3309"/>
      <c r="P292" s="3310"/>
      <c r="Q292" s="461"/>
    </row>
    <row r="293" spans="1:27" s="44" customFormat="1" ht="1.5" customHeight="1" thickBot="1">
      <c r="A293" s="43"/>
      <c r="D293" s="40"/>
      <c r="E293" s="37"/>
      <c r="F293" s="941"/>
      <c r="G293" s="941"/>
      <c r="H293" s="941"/>
      <c r="I293" s="941"/>
      <c r="J293" s="956"/>
      <c r="K293" s="956"/>
      <c r="L293" s="956"/>
      <c r="M293" s="61"/>
      <c r="N293" s="941"/>
      <c r="O293" s="1587"/>
      <c r="P293" s="3"/>
    </row>
    <row r="294" spans="1:27" s="44" customFormat="1" ht="12" customHeight="1" thickBot="1">
      <c r="A294" s="158" t="s">
        <v>366</v>
      </c>
      <c r="B294" s="108" t="s">
        <v>2475</v>
      </c>
      <c r="D294" s="42"/>
      <c r="E294" s="42"/>
      <c r="F294" s="42"/>
      <c r="H294" s="62" t="s">
        <v>3412</v>
      </c>
      <c r="J294" s="89" t="s">
        <v>2812</v>
      </c>
      <c r="K294" s="49"/>
      <c r="L294" s="654" t="str">
        <f>'Part I-Project Information'!$H$100</f>
        <v>Flexible</v>
      </c>
      <c r="M294" s="1584">
        <v>4</v>
      </c>
      <c r="N294" s="6"/>
      <c r="O294" s="1247">
        <f>IF(AND($L$294="Flexible",O295=$M295),$M295,IF(AND($L$294="Flexible",O303&gt;0),O303,IF(AND($L$294="Rural",O307&gt;0),O307,0)))</f>
        <v>3</v>
      </c>
      <c r="P294" s="1247">
        <f>IF(AND($L$294="Flexible",P295=$M295),$M295,IF(AND($L$294="Flexible",P303&gt;0),P303,IF(AND($L$294="Rural",P307&gt;0),P307,0)))</f>
        <v>0</v>
      </c>
      <c r="Q294" s="112" t="s">
        <v>443</v>
      </c>
    </row>
    <row r="295" spans="1:27" ht="11.25" customHeight="1">
      <c r="A295" s="1585" t="s">
        <v>1999</v>
      </c>
      <c r="B295" s="184" t="s">
        <v>4085</v>
      </c>
      <c r="D295" s="34"/>
      <c r="E295" s="34"/>
      <c r="F295" s="34"/>
      <c r="H295" s="89" t="s">
        <v>3710</v>
      </c>
      <c r="I295" s="446"/>
      <c r="J295" s="3584" t="str">
        <f>'Part I-Project Information'!$O$34</f>
        <v>Yes- w/Master Plan</v>
      </c>
      <c r="K295" s="3584"/>
      <c r="L295" s="995" t="str">
        <f>'Part I-Project Information'!$O$35</f>
        <v>2017-028</v>
      </c>
      <c r="M295" s="75">
        <v>3</v>
      </c>
      <c r="N295" s="484" t="s">
        <v>1999</v>
      </c>
      <c r="O295" s="2201"/>
      <c r="P295" s="912"/>
      <c r="Q295" s="1090" t="str">
        <f>IF(OR($O295=$M295,$O295=0,$O295=""),"","*CHECK!*")</f>
        <v/>
      </c>
      <c r="R295" s="1192" t="s">
        <v>2724</v>
      </c>
    </row>
    <row r="296" spans="1:27" s="103" customFormat="1" ht="21.75" customHeight="1">
      <c r="B296" s="621" t="s">
        <v>2002</v>
      </c>
      <c r="C296" s="3306" t="s">
        <v>4244</v>
      </c>
      <c r="D296" s="3306"/>
      <c r="E296" s="3306"/>
      <c r="F296" s="3306"/>
      <c r="G296" s="3306"/>
      <c r="H296" s="3306"/>
      <c r="I296" s="3306"/>
      <c r="J296" s="3306"/>
      <c r="K296" s="3306"/>
      <c r="L296" s="3306"/>
      <c r="M296" s="3306"/>
      <c r="N296" s="404" t="s">
        <v>2002</v>
      </c>
      <c r="O296" s="2243"/>
      <c r="P296" s="1241"/>
      <c r="Q296" s="3520" t="s">
        <v>4245</v>
      </c>
      <c r="R296" s="3306"/>
      <c r="S296" s="3306"/>
      <c r="T296" s="3306"/>
      <c r="U296" s="3306"/>
      <c r="V296" s="3306"/>
      <c r="W296" s="3306"/>
      <c r="X296" s="3306"/>
      <c r="Y296" s="3306"/>
      <c r="Z296" s="3306"/>
      <c r="AA296" s="1098"/>
    </row>
    <row r="297" spans="1:27" s="121" customFormat="1" ht="10.5" customHeight="1">
      <c r="B297" s="942"/>
      <c r="C297" s="139" t="s">
        <v>3834</v>
      </c>
      <c r="H297" s="448" t="s">
        <v>2600</v>
      </c>
      <c r="I297" s="2244"/>
      <c r="J297" s="448" t="s">
        <v>2317</v>
      </c>
      <c r="K297" s="3491"/>
      <c r="L297" s="3492"/>
      <c r="M297" s="3492"/>
      <c r="N297" s="3492"/>
      <c r="O297" s="3492"/>
      <c r="P297" s="3493"/>
    </row>
    <row r="298" spans="1:27" s="121" customFormat="1" ht="10.5" customHeight="1">
      <c r="B298" s="942"/>
      <c r="C298" s="139" t="s">
        <v>3889</v>
      </c>
      <c r="H298" s="448" t="s">
        <v>2600</v>
      </c>
      <c r="I298" s="2245"/>
      <c r="J298" s="448" t="s">
        <v>2317</v>
      </c>
      <c r="K298" s="3488"/>
      <c r="L298" s="3489"/>
      <c r="M298" s="3489"/>
      <c r="N298" s="3489"/>
      <c r="O298" s="3489"/>
      <c r="P298" s="3490"/>
    </row>
    <row r="299" spans="1:27" s="121" customFormat="1" ht="10.5" customHeight="1">
      <c r="B299" s="942" t="s">
        <v>2004</v>
      </c>
      <c r="C299" s="121" t="s">
        <v>972</v>
      </c>
      <c r="M299" s="7"/>
      <c r="N299" s="181" t="s">
        <v>2004</v>
      </c>
      <c r="O299" s="2208"/>
      <c r="P299" s="1005"/>
    </row>
    <row r="300" spans="1:27" s="121" customFormat="1" ht="10.5" customHeight="1">
      <c r="B300" s="942" t="s">
        <v>2551</v>
      </c>
      <c r="C300" s="121" t="s">
        <v>973</v>
      </c>
      <c r="M300" s="7"/>
      <c r="N300" s="181" t="s">
        <v>2551</v>
      </c>
      <c r="O300" s="2196"/>
      <c r="P300" s="562"/>
    </row>
    <row r="301" spans="1:27" s="121" customFormat="1" ht="10.5" customHeight="1">
      <c r="A301" s="532"/>
      <c r="B301" s="942" t="s">
        <v>1236</v>
      </c>
      <c r="C301" s="121" t="s">
        <v>974</v>
      </c>
      <c r="M301" s="7"/>
      <c r="N301" s="181" t="s">
        <v>1236</v>
      </c>
      <c r="O301" s="2192"/>
      <c r="P301" s="563"/>
    </row>
    <row r="302" spans="1:27" s="34" customFormat="1" ht="10.5" customHeight="1">
      <c r="A302" s="1585" t="s">
        <v>2001</v>
      </c>
      <c r="B302" s="184" t="s">
        <v>4086</v>
      </c>
      <c r="D302" s="620"/>
      <c r="H302" s="62" t="s">
        <v>3413</v>
      </c>
    </row>
    <row r="303" spans="1:27" s="34" customFormat="1" ht="10.5" customHeight="1">
      <c r="A303" s="1585"/>
      <c r="B303" s="947" t="s">
        <v>3633</v>
      </c>
      <c r="D303" s="620"/>
      <c r="H303" s="62"/>
      <c r="M303" s="616">
        <v>3</v>
      </c>
      <c r="N303" s="484" t="s">
        <v>2001</v>
      </c>
      <c r="O303" s="950">
        <f>IF($L$294="Flexible", MIN($M$303, SUM(O304:O305)), 0)</f>
        <v>3</v>
      </c>
      <c r="P303" s="950">
        <f>IF($L$294="Flexible", MIN($M$303, SUM(P304:P305)), 0)</f>
        <v>0</v>
      </c>
    </row>
    <row r="304" spans="1:27" s="34" customFormat="1" ht="10.5" customHeight="1">
      <c r="B304" s="942" t="s">
        <v>2002</v>
      </c>
      <c r="C304" s="618" t="s">
        <v>4088</v>
      </c>
      <c r="L304" s="391" t="str">
        <f>IF(OR($O304=$M304,$O304=0,$O304=""),"","* * Check Score! * *")</f>
        <v/>
      </c>
      <c r="M304" s="75">
        <v>3</v>
      </c>
      <c r="N304" s="450" t="s">
        <v>2002</v>
      </c>
      <c r="O304" s="2202">
        <v>3</v>
      </c>
      <c r="P304" s="555"/>
      <c r="Q304" s="1090" t="str">
        <f>IF(OR($O304=$M304,$O304=0,$O304=""),"","*CHECK!*")</f>
        <v/>
      </c>
      <c r="R304" s="1192" t="s">
        <v>2724</v>
      </c>
    </row>
    <row r="305" spans="1:21" ht="10.5" customHeight="1">
      <c r="A305" s="619" t="s">
        <v>1365</v>
      </c>
      <c r="B305" s="621" t="s">
        <v>2004</v>
      </c>
      <c r="C305" s="455" t="s">
        <v>3634</v>
      </c>
      <c r="D305" s="34"/>
      <c r="E305" s="34"/>
      <c r="F305" s="34"/>
      <c r="G305" s="41"/>
      <c r="H305" s="62"/>
      <c r="I305" s="41"/>
      <c r="L305" s="391" t="str">
        <f>IF(OR($O305=$M305,$O305=0,$O305=""),"","* * Check Score! * *")</f>
        <v/>
      </c>
      <c r="M305" s="83">
        <v>2</v>
      </c>
      <c r="N305" s="948" t="s">
        <v>2004</v>
      </c>
      <c r="O305" s="2203"/>
      <c r="P305" s="557"/>
      <c r="Q305" s="1090" t="str">
        <f>IF(OR($O305=$M305,$O305=0,$O305=""),"","*CHECK!*")</f>
        <v/>
      </c>
      <c r="R305" s="1192" t="s">
        <v>2724</v>
      </c>
    </row>
    <row r="306" spans="1:21" s="34" customFormat="1" ht="10.5" customHeight="1">
      <c r="A306" s="1585" t="s">
        <v>757</v>
      </c>
      <c r="B306" s="184" t="s">
        <v>4087</v>
      </c>
      <c r="D306" s="620"/>
      <c r="H306" s="62" t="s">
        <v>4090</v>
      </c>
    </row>
    <row r="307" spans="1:21" s="34" customFormat="1" ht="10.5" customHeight="1">
      <c r="A307" s="1585"/>
      <c r="B307" s="947" t="s">
        <v>3636</v>
      </c>
      <c r="D307" s="620"/>
      <c r="H307" s="62"/>
      <c r="M307" s="616">
        <v>4</v>
      </c>
      <c r="N307" s="484" t="s">
        <v>757</v>
      </c>
      <c r="O307" s="950">
        <f>IF($L$294="Rural", MIN($M$307, SUM(O308:O310)), 0)</f>
        <v>0</v>
      </c>
      <c r="P307" s="950">
        <f>IF($L$294="Rural", MIN($M$307, SUM(P308:P310)), 0)</f>
        <v>0</v>
      </c>
    </row>
    <row r="308" spans="1:21" s="34" customFormat="1" ht="10.5" customHeight="1">
      <c r="B308" s="942" t="s">
        <v>2002</v>
      </c>
      <c r="C308" s="446" t="s">
        <v>3635</v>
      </c>
      <c r="K308" s="3366" t="str">
        <f>IF(OR(AND(O308&gt;0,O310&gt;0), AND(O309&gt;0,O310&gt;0), AND(O308&gt;0,O309&gt;0)),"Choose option 1 or 2 or 3!!!","")</f>
        <v/>
      </c>
      <c r="L308" s="3366"/>
      <c r="M308" s="75">
        <v>4</v>
      </c>
      <c r="N308" s="450" t="s">
        <v>2002</v>
      </c>
      <c r="O308" s="2202"/>
      <c r="P308" s="555"/>
      <c r="Q308" s="1090" t="str">
        <f>IF(OR($O308=$M308,$O308=0,$O308=""),"","*CHECK!*")</f>
        <v/>
      </c>
      <c r="R308" s="1192" t="s">
        <v>2724</v>
      </c>
    </row>
    <row r="309" spans="1:21" ht="10.5" customHeight="1">
      <c r="A309" s="619" t="s">
        <v>1365</v>
      </c>
      <c r="B309" s="621" t="s">
        <v>2004</v>
      </c>
      <c r="C309" s="618" t="s">
        <v>4089</v>
      </c>
      <c r="D309" s="34"/>
      <c r="E309" s="34"/>
      <c r="F309" s="34"/>
      <c r="G309" s="41"/>
      <c r="H309" s="949"/>
      <c r="I309" s="41"/>
      <c r="K309" s="3366"/>
      <c r="L309" s="3366"/>
      <c r="M309" s="83">
        <v>3</v>
      </c>
      <c r="N309" s="948" t="s">
        <v>2004</v>
      </c>
      <c r="O309" s="2246"/>
      <c r="P309" s="556"/>
      <c r="Q309" s="1090" t="str">
        <f t="shared" ref="Q309:Q310" si="5">IF(OR($O309=$M309,$O309=0,$O309=""),"","*CHECK!*")</f>
        <v/>
      </c>
      <c r="R309" s="1192" t="s">
        <v>2724</v>
      </c>
    </row>
    <row r="310" spans="1:21" ht="10.5" customHeight="1">
      <c r="A310" s="619" t="s">
        <v>1365</v>
      </c>
      <c r="B310" s="621" t="s">
        <v>2551</v>
      </c>
      <c r="C310" s="455" t="s">
        <v>3637</v>
      </c>
      <c r="D310" s="34"/>
      <c r="E310" s="34"/>
      <c r="F310" s="34"/>
      <c r="G310" s="41"/>
      <c r="H310" s="62"/>
      <c r="I310" s="41"/>
      <c r="K310" s="3366"/>
      <c r="L310" s="3366"/>
      <c r="M310" s="83">
        <v>2</v>
      </c>
      <c r="N310" s="948" t="s">
        <v>2551</v>
      </c>
      <c r="O310" s="2203"/>
      <c r="P310" s="557"/>
      <c r="Q310" s="1090" t="str">
        <f t="shared" si="5"/>
        <v/>
      </c>
      <c r="R310" s="1192" t="s">
        <v>2724</v>
      </c>
    </row>
    <row r="311" spans="1:21" s="44" customFormat="1" ht="10.5" customHeight="1" thickBot="1">
      <c r="A311" s="43"/>
      <c r="B311" s="1332" t="s">
        <v>3780</v>
      </c>
      <c r="C311" s="43"/>
      <c r="D311" s="49"/>
      <c r="E311" s="49"/>
      <c r="F311" s="49"/>
      <c r="G311" s="49"/>
      <c r="H311" s="37"/>
      <c r="I311" s="37"/>
      <c r="J311" s="37"/>
      <c r="K311" s="37"/>
      <c r="M311" s="47"/>
      <c r="N311" s="63"/>
      <c r="O311" s="3"/>
      <c r="P311" s="1587"/>
    </row>
    <row r="312" spans="1:21" s="44" customFormat="1" ht="79.900000000000006" customHeight="1" thickTop="1" thickBot="1">
      <c r="A312" s="3455" t="s">
        <v>4715</v>
      </c>
      <c r="B312" s="3456"/>
      <c r="C312" s="3456"/>
      <c r="D312" s="3456"/>
      <c r="E312" s="3456"/>
      <c r="F312" s="3456"/>
      <c r="G312" s="3456"/>
      <c r="H312" s="3456"/>
      <c r="I312" s="3456"/>
      <c r="J312" s="3456"/>
      <c r="K312" s="3456"/>
      <c r="L312" s="3456"/>
      <c r="M312" s="3456"/>
      <c r="N312" s="3456"/>
      <c r="O312" s="3456"/>
      <c r="P312" s="3457"/>
      <c r="Q312" s="1174" t="s">
        <v>1266</v>
      </c>
    </row>
    <row r="313" spans="1:21" s="44" customFormat="1" ht="10.5" customHeight="1" thickTop="1">
      <c r="B313" s="88" t="s">
        <v>1880</v>
      </c>
      <c r="C313" s="101"/>
      <c r="D313" s="88"/>
      <c r="E313" s="102"/>
      <c r="F313" s="1592"/>
      <c r="G313" s="1592"/>
      <c r="H313" s="1592"/>
      <c r="I313" s="1592"/>
      <c r="J313" s="1592"/>
      <c r="K313" s="1592"/>
      <c r="L313" s="1592"/>
      <c r="M313" s="1592"/>
      <c r="N313" s="77"/>
      <c r="O313" s="73"/>
      <c r="P313" s="1584"/>
      <c r="Q313" s="441"/>
    </row>
    <row r="314" spans="1:21" s="44" customFormat="1" ht="11.25" customHeight="1">
      <c r="A314" s="3159"/>
      <c r="B314" s="3160"/>
      <c r="C314" s="3160"/>
      <c r="D314" s="3160"/>
      <c r="E314" s="3160"/>
      <c r="F314" s="3160"/>
      <c r="G314" s="3160"/>
      <c r="H314" s="3160"/>
      <c r="I314" s="3160"/>
      <c r="J314" s="3160"/>
      <c r="K314" s="3160"/>
      <c r="L314" s="3160"/>
      <c r="M314" s="3160"/>
      <c r="N314" s="3160"/>
      <c r="O314" s="3160"/>
      <c r="P314" s="3161"/>
      <c r="Q314" s="461"/>
    </row>
    <row r="315" spans="1:21" ht="1.5" customHeight="1" thickBot="1">
      <c r="B315" s="120"/>
      <c r="C315" s="120"/>
      <c r="D315" s="120"/>
      <c r="E315" s="120"/>
      <c r="T315" s="1169"/>
      <c r="U315" s="1169"/>
    </row>
    <row r="316" spans="1:21" s="44" customFormat="1" ht="12" customHeight="1" thickBot="1">
      <c r="A316" s="159" t="s">
        <v>1739</v>
      </c>
      <c r="B316" s="109" t="s">
        <v>2845</v>
      </c>
      <c r="C316" s="55"/>
      <c r="D316" s="119"/>
      <c r="E316" s="119"/>
      <c r="F316" s="42"/>
      <c r="H316" s="62" t="s">
        <v>402</v>
      </c>
      <c r="K316" s="49"/>
      <c r="M316" s="1584">
        <v>1</v>
      </c>
      <c r="N316" s="6"/>
      <c r="O316" s="1247">
        <f>MIN($M316,SUM(O317:O319))</f>
        <v>1</v>
      </c>
      <c r="P316" s="1247">
        <f>MIN($M316,SUM(P317:P319))</f>
        <v>0</v>
      </c>
      <c r="Q316" s="112" t="s">
        <v>443</v>
      </c>
      <c r="T316" s="1169"/>
      <c r="U316" s="1169"/>
    </row>
    <row r="317" spans="1:21" s="105" customFormat="1" ht="11.25" customHeight="1">
      <c r="A317" s="143" t="s">
        <v>1999</v>
      </c>
      <c r="B317" s="172" t="s">
        <v>2249</v>
      </c>
      <c r="D317" s="62"/>
      <c r="E317" s="62"/>
      <c r="F317" s="45"/>
      <c r="G317" s="28"/>
      <c r="L317" s="391" t="str">
        <f>IF(OR($O317=$M317,$O317=0,$O317=""),"","* * Check Score! * *")</f>
        <v/>
      </c>
      <c r="M317" s="7">
        <v>1</v>
      </c>
      <c r="N317" s="484" t="s">
        <v>1999</v>
      </c>
      <c r="O317" s="2247">
        <v>1</v>
      </c>
      <c r="P317" s="1251"/>
      <c r="Q317" s="1090" t="str">
        <f>IF(OR($O317=$M317,$O317=0,$O317=""),"","*CHECK!*")</f>
        <v/>
      </c>
      <c r="R317" s="1192" t="s">
        <v>2724</v>
      </c>
      <c r="T317" s="1169"/>
      <c r="U317" s="1169"/>
    </row>
    <row r="318" spans="1:21" s="105" customFormat="1" ht="10.5" customHeight="1">
      <c r="A318" s="143"/>
      <c r="B318" s="41" t="s">
        <v>2708</v>
      </c>
      <c r="D318" s="62"/>
      <c r="E318" s="62"/>
      <c r="F318" s="45"/>
      <c r="G318" s="28"/>
      <c r="K318" s="484"/>
      <c r="M318" s="7"/>
      <c r="N318" s="484"/>
      <c r="O318" s="2192" t="s">
        <v>3010</v>
      </c>
      <c r="P318" s="563"/>
      <c r="R318" s="403"/>
      <c r="T318" s="1169"/>
      <c r="U318" s="1169"/>
    </row>
    <row r="319" spans="1:21" s="44" customFormat="1" ht="11.25" customHeight="1">
      <c r="A319" s="143" t="s">
        <v>2001</v>
      </c>
      <c r="B319" s="172" t="s">
        <v>2250</v>
      </c>
      <c r="D319" s="58"/>
      <c r="K319" s="53"/>
      <c r="L319" s="391" t="str">
        <f>IF(OR($O319=$M319,$O319=0,$O319=""),"","* * Check Score! * *")</f>
        <v/>
      </c>
      <c r="M319" s="7">
        <v>1</v>
      </c>
      <c r="N319" s="484" t="s">
        <v>2001</v>
      </c>
      <c r="O319" s="2202"/>
      <c r="P319" s="555"/>
      <c r="Q319" s="1090" t="str">
        <f>IF(OR($O319=$M319,$O319=0,$O319=""),"","*CHECK!*")</f>
        <v/>
      </c>
      <c r="R319" s="1192" t="s">
        <v>2724</v>
      </c>
      <c r="T319" s="1169"/>
      <c r="U319" s="1169"/>
    </row>
    <row r="320" spans="1:21" s="44" customFormat="1" ht="10.5" customHeight="1">
      <c r="A320" s="143"/>
      <c r="B320" s="956" t="s">
        <v>4091</v>
      </c>
      <c r="D320" s="58"/>
      <c r="H320" s="1593"/>
      <c r="K320" s="53"/>
      <c r="L320" s="105"/>
      <c r="M320" s="7"/>
      <c r="N320" s="484"/>
      <c r="O320" s="2192"/>
      <c r="P320" s="563"/>
      <c r="Q320" s="403"/>
      <c r="R320" s="391"/>
      <c r="T320" s="1169"/>
      <c r="U320" s="1169"/>
    </row>
    <row r="321" spans="1:18" s="44" customFormat="1" ht="10.5" customHeight="1">
      <c r="A321" s="43"/>
      <c r="B321" s="88" t="s">
        <v>1880</v>
      </c>
      <c r="C321" s="101"/>
      <c r="D321" s="88"/>
      <c r="E321" s="102"/>
      <c r="F321" s="1592"/>
      <c r="G321" s="1592"/>
      <c r="H321" s="1592"/>
      <c r="I321" s="1592"/>
      <c r="J321" s="1592"/>
      <c r="K321" s="1592"/>
      <c r="L321" s="1592"/>
      <c r="M321" s="1592"/>
      <c r="N321" s="77"/>
      <c r="O321" s="73"/>
      <c r="P321" s="1584"/>
      <c r="Q321" s="441"/>
    </row>
    <row r="322" spans="1:18" s="44" customFormat="1" ht="11.25" customHeight="1">
      <c r="A322" s="3159"/>
      <c r="B322" s="3160"/>
      <c r="C322" s="3160"/>
      <c r="D322" s="3160"/>
      <c r="E322" s="3160"/>
      <c r="F322" s="3160"/>
      <c r="G322" s="3160"/>
      <c r="H322" s="3160"/>
      <c r="I322" s="3160"/>
      <c r="J322" s="3160"/>
      <c r="K322" s="3160"/>
      <c r="L322" s="3160"/>
      <c r="M322" s="3160"/>
      <c r="N322" s="3160"/>
      <c r="O322" s="3160"/>
      <c r="P322" s="3161"/>
      <c r="Q322" s="461"/>
    </row>
    <row r="323" spans="1:18" s="44" customFormat="1" ht="1.5" customHeight="1" thickBot="1">
      <c r="A323" s="43"/>
      <c r="B323" s="43"/>
      <c r="C323" s="1592"/>
      <c r="D323" s="1592"/>
      <c r="E323" s="1592"/>
      <c r="F323" s="1592"/>
      <c r="G323" s="1592"/>
      <c r="H323" s="1592"/>
      <c r="I323" s="1592"/>
      <c r="J323" s="1592"/>
      <c r="K323" s="1592"/>
      <c r="L323" s="1592"/>
      <c r="M323" s="1592"/>
      <c r="N323" s="77"/>
      <c r="O323" s="73"/>
      <c r="P323" s="941"/>
    </row>
    <row r="324" spans="1:18" s="44" customFormat="1" ht="12" customHeight="1" thickBot="1">
      <c r="A324" s="159" t="s">
        <v>2800</v>
      </c>
      <c r="B324" s="109" t="s">
        <v>4092</v>
      </c>
      <c r="C324" s="90"/>
      <c r="D324" s="59"/>
      <c r="E324" s="53"/>
      <c r="G324" s="56"/>
      <c r="M324" s="1584">
        <v>2</v>
      </c>
      <c r="N324" s="6"/>
      <c r="O324" s="6"/>
      <c r="P324" s="1247">
        <f>P325+P330</f>
        <v>0</v>
      </c>
      <c r="Q324" s="112" t="s">
        <v>443</v>
      </c>
    </row>
    <row r="325" spans="1:18" s="44" customFormat="1" ht="12" customHeight="1">
      <c r="A325" s="143" t="s">
        <v>2001</v>
      </c>
      <c r="B325" s="172" t="s">
        <v>4093</v>
      </c>
      <c r="C325" s="90"/>
      <c r="D325" s="59"/>
      <c r="E325" s="53"/>
      <c r="G325" s="508" t="str">
        <f>'Part VIII-Threshold Criteria'!I357</f>
        <v>In-Fill Housing II, Inc.</v>
      </c>
      <c r="J325" s="41" t="s">
        <v>2703</v>
      </c>
      <c r="L325" s="37"/>
      <c r="O325" s="483" t="str">
        <f>'Part I-Project Information'!$H$96</f>
        <v>Yes</v>
      </c>
      <c r="P325" s="558"/>
      <c r="Q325" s="112"/>
    </row>
    <row r="326" spans="1:18" s="105" customFormat="1" ht="10.5" customHeight="1">
      <c r="A326" s="143"/>
      <c r="B326" s="389" t="s">
        <v>2002</v>
      </c>
      <c r="C326" s="37" t="s">
        <v>3482</v>
      </c>
      <c r="D326" s="34"/>
      <c r="N326" s="450" t="s">
        <v>2002</v>
      </c>
      <c r="O326" s="2193" t="s">
        <v>3013</v>
      </c>
      <c r="P326" s="561"/>
      <c r="R326" s="391"/>
    </row>
    <row r="327" spans="1:18" s="105" customFormat="1" ht="10.5" customHeight="1">
      <c r="A327" s="143"/>
      <c r="B327" s="389" t="s">
        <v>2004</v>
      </c>
      <c r="C327" s="37" t="s">
        <v>4112</v>
      </c>
      <c r="D327" s="34"/>
      <c r="N327" s="948" t="s">
        <v>2004</v>
      </c>
      <c r="O327" s="2196"/>
      <c r="P327" s="562"/>
      <c r="R327" s="391"/>
    </row>
    <row r="328" spans="1:18" s="105" customFormat="1" ht="10.5" customHeight="1">
      <c r="A328" s="143"/>
      <c r="B328" s="389" t="s">
        <v>2551</v>
      </c>
      <c r="C328" s="37" t="s">
        <v>4111</v>
      </c>
      <c r="D328" s="34"/>
      <c r="N328" s="948" t="s">
        <v>2551</v>
      </c>
      <c r="O328" s="2196"/>
      <c r="P328" s="562"/>
      <c r="R328" s="391"/>
    </row>
    <row r="329" spans="1:18" s="105" customFormat="1" ht="10.5" customHeight="1">
      <c r="A329" s="143"/>
      <c r="B329" s="389" t="s">
        <v>1236</v>
      </c>
      <c r="C329" s="37" t="s">
        <v>4113</v>
      </c>
      <c r="D329" s="34"/>
      <c r="N329" s="948" t="s">
        <v>1236</v>
      </c>
      <c r="O329" s="2192"/>
      <c r="P329" s="563"/>
      <c r="R329" s="391"/>
    </row>
    <row r="330" spans="1:18" s="44" customFormat="1" ht="12" customHeight="1">
      <c r="A330" s="143" t="s">
        <v>1999</v>
      </c>
      <c r="B330" s="172" t="s">
        <v>4094</v>
      </c>
      <c r="C330" s="90"/>
      <c r="D330" s="59"/>
      <c r="E330" s="53"/>
      <c r="G330" s="508" t="str">
        <f>'Part I-Project Information'!E158</f>
        <v>Macon Housing Authority</v>
      </c>
      <c r="I330" s="508"/>
      <c r="L330" s="1297"/>
      <c r="M330" s="1297"/>
      <c r="N330" s="6"/>
      <c r="P330" s="558"/>
      <c r="Q330" s="112"/>
    </row>
    <row r="331" spans="1:18" s="105" customFormat="1" ht="10.5" customHeight="1">
      <c r="A331" s="159"/>
      <c r="B331" s="389" t="s">
        <v>2002</v>
      </c>
      <c r="C331" s="37" t="s">
        <v>3482</v>
      </c>
      <c r="D331" s="53"/>
      <c r="E331" s="53"/>
      <c r="M331" s="1584"/>
      <c r="N331" s="450" t="s">
        <v>2002</v>
      </c>
      <c r="O331" s="2193" t="s">
        <v>3010</v>
      </c>
      <c r="P331" s="561"/>
      <c r="Q331" s="112"/>
    </row>
    <row r="332" spans="1:18" s="105" customFormat="1" ht="10.5" customHeight="1">
      <c r="A332" s="143"/>
      <c r="B332" s="389" t="s">
        <v>2004</v>
      </c>
      <c r="C332" s="37" t="s">
        <v>4125</v>
      </c>
      <c r="D332" s="34"/>
      <c r="N332" s="948" t="s">
        <v>2004</v>
      </c>
      <c r="O332" s="2196" t="s">
        <v>3010</v>
      </c>
      <c r="P332" s="562"/>
      <c r="R332" s="391"/>
    </row>
    <row r="333" spans="1:18" s="105" customFormat="1" ht="10.5" customHeight="1">
      <c r="A333" s="143"/>
      <c r="B333" s="389" t="s">
        <v>2551</v>
      </c>
      <c r="C333" s="37" t="s">
        <v>4113</v>
      </c>
      <c r="D333" s="34"/>
      <c r="N333" s="948" t="s">
        <v>2551</v>
      </c>
      <c r="O333" s="2192" t="s">
        <v>3010</v>
      </c>
      <c r="P333" s="563"/>
      <c r="R333" s="391"/>
    </row>
    <row r="334" spans="1:18" s="44" customFormat="1" ht="10.5" customHeight="1">
      <c r="B334" s="88" t="s">
        <v>1880</v>
      </c>
      <c r="C334" s="101"/>
      <c r="D334" s="88"/>
      <c r="E334" s="102"/>
      <c r="F334" s="1592"/>
      <c r="G334" s="1592"/>
      <c r="H334" s="1592"/>
      <c r="I334" s="1592"/>
      <c r="J334" s="1592"/>
      <c r="K334" s="1592"/>
      <c r="L334" s="1592"/>
      <c r="M334" s="1592"/>
      <c r="N334" s="77"/>
      <c r="O334" s="73"/>
      <c r="P334" s="1584"/>
      <c r="Q334" s="441"/>
    </row>
    <row r="335" spans="1:18" s="44" customFormat="1" ht="11.25" customHeight="1">
      <c r="A335" s="3159"/>
      <c r="B335" s="3160"/>
      <c r="C335" s="3160"/>
      <c r="D335" s="3160"/>
      <c r="E335" s="3160"/>
      <c r="F335" s="3160"/>
      <c r="G335" s="3160"/>
      <c r="H335" s="3160"/>
      <c r="I335" s="3160"/>
      <c r="J335" s="3160"/>
      <c r="K335" s="3160"/>
      <c r="L335" s="3160"/>
      <c r="M335" s="3160"/>
      <c r="N335" s="3160"/>
      <c r="O335" s="3160"/>
      <c r="P335" s="3161"/>
      <c r="Q335" s="461"/>
    </row>
    <row r="336" spans="1:18" ht="2.25" customHeight="1" thickBot="1"/>
    <row r="337" spans="1:18" s="64" customFormat="1" ht="12.6" customHeight="1" thickBot="1">
      <c r="A337" s="158" t="s">
        <v>2267</v>
      </c>
      <c r="B337" s="108" t="s">
        <v>4095</v>
      </c>
      <c r="H337" s="37" t="s">
        <v>3600</v>
      </c>
      <c r="I337" s="1609" t="str">
        <f>'Part I-Project Information'!$H$100</f>
        <v>Flexible</v>
      </c>
      <c r="J337" s="1601"/>
      <c r="L337" s="391" t="str">
        <f>IF(OR($O337=$M337,$O337=0,$O337=""),"","* * Check Score! * *")</f>
        <v/>
      </c>
      <c r="M337" s="1584">
        <v>1</v>
      </c>
      <c r="N337" s="410"/>
      <c r="O337" s="2248">
        <v>1</v>
      </c>
      <c r="P337" s="1250"/>
      <c r="Q337" s="112" t="s">
        <v>443</v>
      </c>
      <c r="R337" s="1192" t="s">
        <v>2724</v>
      </c>
    </row>
    <row r="338" spans="1:18" s="64" customFormat="1" ht="12" customHeight="1">
      <c r="A338" s="3198" t="s">
        <v>4193</v>
      </c>
      <c r="B338" s="3198"/>
      <c r="C338" s="3198"/>
      <c r="D338" s="3198"/>
      <c r="E338" s="3198"/>
      <c r="F338" s="3198"/>
      <c r="G338" s="3198"/>
      <c r="H338" s="3198"/>
      <c r="I338" s="3583" t="s">
        <v>4194</v>
      </c>
      <c r="J338" s="3583"/>
      <c r="K338" s="3583"/>
      <c r="L338" s="3583"/>
      <c r="M338" s="3583"/>
      <c r="N338" s="3583"/>
      <c r="O338" s="3583"/>
      <c r="P338" s="3583"/>
      <c r="R338" s="391"/>
    </row>
    <row r="339" spans="1:18" s="64" customFormat="1" ht="12" customHeight="1">
      <c r="A339" s="3198"/>
      <c r="B339" s="3198"/>
      <c r="C339" s="3198"/>
      <c r="D339" s="3198"/>
      <c r="E339" s="3198"/>
      <c r="F339" s="3198"/>
      <c r="G339" s="3198"/>
      <c r="H339" s="3198"/>
      <c r="I339" s="3494" t="s">
        <v>4562</v>
      </c>
      <c r="J339" s="3494"/>
      <c r="K339" s="3494"/>
      <c r="L339" s="3494">
        <v>3</v>
      </c>
      <c r="M339" s="3494"/>
      <c r="N339" s="3494"/>
      <c r="O339" s="3494"/>
      <c r="P339" s="3494"/>
      <c r="R339" s="391"/>
    </row>
    <row r="340" spans="1:18" s="64" customFormat="1" ht="12" customHeight="1">
      <c r="A340" s="3198"/>
      <c r="B340" s="3198"/>
      <c r="C340" s="3198"/>
      <c r="D340" s="3198"/>
      <c r="E340" s="3198"/>
      <c r="F340" s="3198"/>
      <c r="G340" s="3198"/>
      <c r="H340" s="3198"/>
      <c r="I340" s="3495">
        <v>2</v>
      </c>
      <c r="J340" s="3495"/>
      <c r="K340" s="3495"/>
      <c r="L340" s="3495">
        <v>4</v>
      </c>
      <c r="M340" s="3495"/>
      <c r="N340" s="3495"/>
      <c r="O340" s="3495"/>
      <c r="P340" s="3495"/>
      <c r="R340" s="391"/>
    </row>
    <row r="341" spans="1:18" s="105" customFormat="1" ht="10.5" customHeight="1" thickBot="1">
      <c r="A341" s="43"/>
      <c r="B341" s="1332" t="s">
        <v>3780</v>
      </c>
      <c r="C341" s="43"/>
      <c r="D341" s="49"/>
      <c r="E341" s="49"/>
      <c r="F341" s="49"/>
      <c r="G341" s="49"/>
      <c r="H341" s="37"/>
      <c r="I341" s="37"/>
      <c r="J341" s="37"/>
      <c r="K341" s="37"/>
      <c r="M341" s="47"/>
      <c r="N341" s="6"/>
      <c r="O341" s="3"/>
      <c r="P341" s="1584"/>
    </row>
    <row r="342" spans="1:18" s="44" customFormat="1" ht="21.75" customHeight="1" thickTop="1" thickBot="1">
      <c r="A342" s="3455" t="s">
        <v>4716</v>
      </c>
      <c r="B342" s="3456"/>
      <c r="C342" s="3456"/>
      <c r="D342" s="3456"/>
      <c r="E342" s="3456"/>
      <c r="F342" s="3456"/>
      <c r="G342" s="3456"/>
      <c r="H342" s="3456"/>
      <c r="I342" s="3456"/>
      <c r="J342" s="3456"/>
      <c r="K342" s="3456"/>
      <c r="L342" s="3456"/>
      <c r="M342" s="3456"/>
      <c r="N342" s="3456"/>
      <c r="O342" s="3456"/>
      <c r="P342" s="3457"/>
      <c r="Q342" s="1174" t="s">
        <v>1266</v>
      </c>
    </row>
    <row r="343" spans="1:18" s="105" customFormat="1" ht="10.5" customHeight="1" thickTop="1">
      <c r="A343" s="43"/>
      <c r="B343" s="100" t="s">
        <v>1880</v>
      </c>
      <c r="C343" s="43"/>
      <c r="D343" s="100"/>
      <c r="E343" s="1594"/>
      <c r="F343" s="1594"/>
      <c r="G343" s="1594"/>
      <c r="H343" s="1594"/>
      <c r="I343" s="1594"/>
      <c r="J343" s="1594"/>
      <c r="K343" s="1594"/>
      <c r="L343" s="1594"/>
      <c r="M343" s="1594"/>
      <c r="N343" s="96"/>
      <c r="O343" s="925"/>
      <c r="P343" s="1584"/>
      <c r="Q343" s="441"/>
    </row>
    <row r="344" spans="1:18" s="44" customFormat="1" ht="11.25" customHeight="1">
      <c r="A344" s="3159"/>
      <c r="B344" s="3160"/>
      <c r="C344" s="3160"/>
      <c r="D344" s="3160"/>
      <c r="E344" s="3160"/>
      <c r="F344" s="3160"/>
      <c r="G344" s="3160"/>
      <c r="H344" s="3160"/>
      <c r="I344" s="3160"/>
      <c r="J344" s="3160"/>
      <c r="K344" s="3160"/>
      <c r="L344" s="3160"/>
      <c r="M344" s="3160"/>
      <c r="N344" s="3160"/>
      <c r="O344" s="3160"/>
      <c r="P344" s="3161"/>
      <c r="Q344" s="461"/>
    </row>
    <row r="345" spans="1:18" s="44" customFormat="1" ht="2.25" customHeight="1" thickBot="1">
      <c r="A345" s="43"/>
      <c r="C345" s="1592"/>
      <c r="D345" s="1592"/>
      <c r="E345" s="1592"/>
      <c r="F345" s="1592"/>
      <c r="G345" s="1592"/>
      <c r="H345" s="1592"/>
      <c r="I345" s="1592"/>
      <c r="J345" s="1592"/>
      <c r="K345" s="1592"/>
      <c r="L345" s="1592"/>
      <c r="M345" s="1592"/>
      <c r="N345" s="77"/>
      <c r="O345" s="73"/>
      <c r="P345" s="941"/>
    </row>
    <row r="346" spans="1:18" s="44" customFormat="1" ht="12" customHeight="1" thickBot="1">
      <c r="A346" s="158" t="s">
        <v>4149</v>
      </c>
      <c r="B346" s="108" t="s">
        <v>1685</v>
      </c>
      <c r="D346" s="91"/>
      <c r="E346" s="91"/>
      <c r="G346" s="53"/>
      <c r="H346" s="53"/>
      <c r="I346" s="53"/>
      <c r="J346" s="55"/>
      <c r="K346" s="1593"/>
      <c r="L346" s="391"/>
      <c r="M346" s="941">
        <v>2</v>
      </c>
      <c r="N346" s="410"/>
      <c r="O346" s="1249">
        <f>MIN($M$346,O347+O354)</f>
        <v>0</v>
      </c>
      <c r="P346" s="1249">
        <f>MIN($M$346,P347+P354)</f>
        <v>0</v>
      </c>
      <c r="Q346" s="112" t="s">
        <v>443</v>
      </c>
    </row>
    <row r="347" spans="1:18" s="44" customFormat="1" ht="11.25" customHeight="1" thickBot="1">
      <c r="A347" s="143" t="s">
        <v>1999</v>
      </c>
      <c r="B347" s="116" t="s">
        <v>3640</v>
      </c>
      <c r="D347" s="91"/>
      <c r="E347" s="91"/>
      <c r="G347" s="53"/>
      <c r="H347" s="1239"/>
      <c r="L347" s="391" t="str">
        <f>IF(OR($O347=$M347,$O347=0,$O347=""),"","* * Check Score! * *")</f>
        <v/>
      </c>
      <c r="M347" s="445">
        <v>1</v>
      </c>
      <c r="N347" s="410" t="str">
        <f>IF(OR($O347=$M347,$O347=0,$O347=""),"","***")</f>
        <v/>
      </c>
      <c r="O347" s="2205"/>
      <c r="P347" s="1231"/>
      <c r="Q347" s="1090" t="str">
        <f>IF(OR($O347=$M347,$O347=0,$O347=""),"","*CHECK!*")</f>
        <v/>
      </c>
      <c r="R347" s="1192" t="s">
        <v>2724</v>
      </c>
    </row>
    <row r="348" spans="1:18" s="44" customFormat="1" ht="11.25" customHeight="1">
      <c r="B348" s="41" t="s">
        <v>4099</v>
      </c>
      <c r="D348" s="105"/>
      <c r="E348" s="91"/>
      <c r="F348" s="53"/>
      <c r="G348" s="53"/>
      <c r="H348" s="3500" t="s">
        <v>2539</v>
      </c>
      <c r="I348" s="3459"/>
      <c r="J348" s="3459"/>
      <c r="K348" s="3501"/>
      <c r="N348" s="484" t="s">
        <v>1999</v>
      </c>
      <c r="O348" s="1297" t="s">
        <v>2527</v>
      </c>
      <c r="P348" s="1297" t="s">
        <v>2527</v>
      </c>
    </row>
    <row r="349" spans="1:18" s="121" customFormat="1" ht="10.5" customHeight="1">
      <c r="B349" s="450" t="s">
        <v>2002</v>
      </c>
      <c r="C349" s="448" t="s">
        <v>4096</v>
      </c>
      <c r="N349" s="450" t="s">
        <v>2002</v>
      </c>
      <c r="O349" s="2193"/>
      <c r="P349" s="561"/>
    </row>
    <row r="350" spans="1:18" s="121" customFormat="1" ht="10.5" customHeight="1">
      <c r="B350" s="450" t="s">
        <v>2004</v>
      </c>
      <c r="C350" s="448" t="s">
        <v>4097</v>
      </c>
      <c r="N350" s="450" t="s">
        <v>2004</v>
      </c>
      <c r="O350" s="2196"/>
      <c r="P350" s="562"/>
    </row>
    <row r="351" spans="1:18" s="121" customFormat="1" ht="10.5" customHeight="1">
      <c r="B351" s="450" t="s">
        <v>2551</v>
      </c>
      <c r="C351" s="448" t="s">
        <v>4098</v>
      </c>
      <c r="N351" s="450" t="s">
        <v>2551</v>
      </c>
      <c r="O351" s="2192"/>
      <c r="P351" s="563"/>
    </row>
    <row r="352" spans="1:18" s="103" customFormat="1" ht="11.25" customHeight="1">
      <c r="B352" s="186" t="s">
        <v>3641</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45" customHeight="1" thickBot="1">
      <c r="A354" s="143" t="s">
        <v>2001</v>
      </c>
      <c r="B354" s="184" t="s">
        <v>2815</v>
      </c>
      <c r="D354" s="34"/>
      <c r="H354" s="3516" t="s">
        <v>3508</v>
      </c>
      <c r="I354" s="3516"/>
      <c r="J354" s="3516"/>
      <c r="K354" s="3516"/>
      <c r="L354" s="3516"/>
      <c r="M354" s="1236">
        <v>1</v>
      </c>
      <c r="N354" s="67" t="s">
        <v>2001</v>
      </c>
      <c r="O354" s="2205"/>
      <c r="P354" s="1231"/>
      <c r="Q354" s="1090" t="str">
        <f>IF(OR($O354=$M354,$O354=0,$O354=""),"","*CHECK!*")</f>
        <v/>
      </c>
      <c r="R354" s="1192" t="s">
        <v>2724</v>
      </c>
    </row>
    <row r="355" spans="1:19" s="34" customFormat="1" ht="10.5" customHeight="1">
      <c r="B355" s="515" t="s">
        <v>2816</v>
      </c>
      <c r="E355" s="620"/>
      <c r="O355" s="2207"/>
      <c r="P355" s="566"/>
      <c r="Q355" s="179"/>
    </row>
    <row r="356" spans="1:19" s="34" customFormat="1" ht="10.5" customHeight="1">
      <c r="A356" s="532"/>
      <c r="B356" s="139" t="s">
        <v>3643</v>
      </c>
      <c r="C356" s="953" t="str">
        <f>'Part I-Project Information'!$F$38</f>
        <v>Macon</v>
      </c>
      <c r="E356" s="139" t="s">
        <v>3507</v>
      </c>
      <c r="F356" s="953" t="str">
        <f>'Part I-Project Information'!$J$39</f>
        <v>Bibb</v>
      </c>
      <c r="H356" s="448" t="s">
        <v>455</v>
      </c>
      <c r="I356" s="910" t="str">
        <f>'Part I-Project Information'!$N$39</f>
        <v>Yes</v>
      </c>
      <c r="K356" s="448" t="s">
        <v>3642</v>
      </c>
      <c r="L356" s="3517" t="str">
        <f>'Part I-Project Information'!$O$38</f>
        <v>105</v>
      </c>
      <c r="M356" s="3517"/>
      <c r="N356" s="3517"/>
      <c r="O356" s="3517"/>
      <c r="P356" s="3517"/>
    </row>
    <row r="357" spans="1:19" s="105" customFormat="1" ht="10.5" customHeight="1" thickBot="1">
      <c r="A357" s="43"/>
      <c r="B357" s="1332" t="s">
        <v>3780</v>
      </c>
      <c r="C357" s="43"/>
      <c r="D357" s="49"/>
      <c r="E357" s="49"/>
      <c r="F357" s="49"/>
      <c r="G357" s="49"/>
      <c r="H357" s="37"/>
      <c r="I357" s="37"/>
      <c r="J357" s="37"/>
      <c r="K357" s="37"/>
      <c r="M357" s="47"/>
      <c r="N357" s="6"/>
      <c r="O357" s="3"/>
      <c r="P357" s="1584"/>
    </row>
    <row r="358" spans="1:19" s="44" customFormat="1" ht="21.75" customHeight="1" thickTop="1" thickBot="1">
      <c r="A358" s="3455" t="s">
        <v>4717</v>
      </c>
      <c r="B358" s="3456"/>
      <c r="C358" s="3456"/>
      <c r="D358" s="3456"/>
      <c r="E358" s="3456"/>
      <c r="F358" s="3456"/>
      <c r="G358" s="3456"/>
      <c r="H358" s="3456"/>
      <c r="I358" s="3456"/>
      <c r="J358" s="3456"/>
      <c r="K358" s="3456"/>
      <c r="L358" s="3456"/>
      <c r="M358" s="3456"/>
      <c r="N358" s="3456"/>
      <c r="O358" s="3456"/>
      <c r="P358" s="3457"/>
      <c r="Q358" s="1174" t="s">
        <v>1266</v>
      </c>
    </row>
    <row r="359" spans="1:19" s="105" customFormat="1" ht="10.5" customHeight="1" thickTop="1">
      <c r="A359" s="43"/>
      <c r="B359" s="100" t="s">
        <v>1880</v>
      </c>
      <c r="C359" s="43"/>
      <c r="D359" s="100"/>
      <c r="E359" s="1594"/>
      <c r="F359" s="1594"/>
      <c r="G359" s="1594"/>
      <c r="H359" s="1594"/>
      <c r="I359" s="1594"/>
      <c r="J359" s="1594"/>
      <c r="K359" s="1594"/>
      <c r="L359" s="1594"/>
      <c r="M359" s="1594"/>
      <c r="N359" s="96"/>
      <c r="O359" s="925"/>
      <c r="P359" s="1584"/>
      <c r="Q359" s="441"/>
    </row>
    <row r="360" spans="1:19" s="44" customFormat="1" ht="11.25" customHeight="1">
      <c r="A360" s="3159"/>
      <c r="B360" s="3160"/>
      <c r="C360" s="3160"/>
      <c r="D360" s="3160"/>
      <c r="E360" s="3160"/>
      <c r="F360" s="3160"/>
      <c r="G360" s="3160"/>
      <c r="H360" s="3160"/>
      <c r="I360" s="3160"/>
      <c r="J360" s="3160"/>
      <c r="K360" s="3160"/>
      <c r="L360" s="3160"/>
      <c r="M360" s="3160"/>
      <c r="N360" s="3160"/>
      <c r="O360" s="3160"/>
      <c r="P360" s="3161"/>
      <c r="Q360" s="461"/>
    </row>
    <row r="361" spans="1:19" ht="3" customHeight="1" thickBot="1"/>
    <row r="362" spans="1:19" s="44" customFormat="1" ht="12.75" customHeight="1" thickBot="1">
      <c r="A362" s="158" t="s">
        <v>4150</v>
      </c>
      <c r="B362" s="108" t="s">
        <v>4102</v>
      </c>
      <c r="D362" s="91"/>
      <c r="E362" s="91"/>
      <c r="F362" s="53"/>
      <c r="G362" s="53"/>
      <c r="H362" s="172" t="s">
        <v>2812</v>
      </c>
      <c r="J362" s="537" t="str">
        <f>'Part I-Project Information'!$H$100</f>
        <v>Flexible</v>
      </c>
      <c r="L362" s="391" t="str">
        <f>IF(OR($O362=$M362,$O362=$M369,$O362=$M387,$O362=0,$O362=""),"","* * Check Score! * *")</f>
        <v/>
      </c>
      <c r="M362" s="3">
        <v>4</v>
      </c>
      <c r="N362" s="6"/>
      <c r="O362" s="1249">
        <f>O369+O387</f>
        <v>4</v>
      </c>
      <c r="P362" s="1249">
        <f>P369+P387</f>
        <v>0</v>
      </c>
      <c r="Q362" s="112" t="s">
        <v>443</v>
      </c>
    </row>
    <row r="363" spans="1:19" s="44" customFormat="1" ht="10.5" customHeight="1">
      <c r="A363" s="43"/>
      <c r="B363" s="116" t="s">
        <v>2901</v>
      </c>
      <c r="E363" s="91"/>
      <c r="F363" s="53"/>
      <c r="G363" s="53"/>
      <c r="H363" s="53"/>
      <c r="I363" s="53"/>
      <c r="J363" s="55"/>
      <c r="K363" s="61"/>
      <c r="L363" s="57"/>
      <c r="O363" s="540" t="s">
        <v>2527</v>
      </c>
      <c r="P363" s="540" t="s">
        <v>2527</v>
      </c>
    </row>
    <row r="364" spans="1:19" s="103" customFormat="1" ht="10.5" customHeight="1">
      <c r="B364" s="390" t="s">
        <v>2451</v>
      </c>
      <c r="C364" s="446" t="s">
        <v>2846</v>
      </c>
      <c r="E364" s="91"/>
      <c r="F364" s="53"/>
      <c r="G364" s="53"/>
      <c r="H364" s="53"/>
      <c r="I364" s="53"/>
      <c r="J364" s="55"/>
      <c r="K364" s="61"/>
      <c r="L364" s="3518" t="str">
        <f>IF(OR(O364="No",O364="",O365="No",O365="",O366="No",O366="",O367="No",O367=""),"Unmet criterion results in no points!","")</f>
        <v/>
      </c>
      <c r="M364" s="3518"/>
      <c r="N364" s="390" t="s">
        <v>2451</v>
      </c>
      <c r="O364" s="2193" t="s">
        <v>3010</v>
      </c>
      <c r="P364" s="561"/>
      <c r="R364" s="3515" t="str">
        <f>IF(OR(P364="No",P364="",P365="No",P365="",P366="No",P366="",P367="No",P367=""),"Unmet criterion results in no points!","")</f>
        <v>Unmet criterion results in no points!</v>
      </c>
      <c r="S364" s="3515" t="e">
        <f>IF(OR(V364="No",V364="",V365="No",V365="",V366="No",V366="",V367="No",V367="",#REF!="No",#REF!="",#REF!="No",#REF!=""),"Unmet criterion results in no points!","")</f>
        <v>#REF!</v>
      </c>
    </row>
    <row r="365" spans="1:19" s="103" customFormat="1" ht="10.5" customHeight="1">
      <c r="B365" s="402" t="s">
        <v>2452</v>
      </c>
      <c r="C365" s="446" t="s">
        <v>3837</v>
      </c>
      <c r="L365" s="3518"/>
      <c r="M365" s="3518"/>
      <c r="N365" s="402" t="s">
        <v>2452</v>
      </c>
      <c r="O365" s="2196" t="s">
        <v>3010</v>
      </c>
      <c r="P365" s="562"/>
      <c r="R365" s="3515"/>
      <c r="S365" s="3515"/>
    </row>
    <row r="366" spans="1:19" s="103" customFormat="1" ht="10.5" customHeight="1">
      <c r="B366" s="390" t="s">
        <v>2453</v>
      </c>
      <c r="C366" s="446" t="s">
        <v>3836</v>
      </c>
      <c r="L366" s="3518"/>
      <c r="M366" s="3518"/>
      <c r="N366" s="390" t="s">
        <v>2453</v>
      </c>
      <c r="O366" s="2196" t="s">
        <v>3010</v>
      </c>
      <c r="P366" s="562"/>
      <c r="R366" s="3515"/>
      <c r="S366" s="3515"/>
    </row>
    <row r="367" spans="1:19" s="103" customFormat="1" ht="29.25" customHeight="1">
      <c r="B367" s="402" t="s">
        <v>2454</v>
      </c>
      <c r="C367" s="3385" t="s">
        <v>4103</v>
      </c>
      <c r="D367" s="3385"/>
      <c r="E367" s="3385"/>
      <c r="F367" s="3385"/>
      <c r="G367" s="3385"/>
      <c r="H367" s="3385"/>
      <c r="I367" s="3385"/>
      <c r="J367" s="3385"/>
      <c r="K367" s="3385"/>
      <c r="L367" s="3385"/>
      <c r="M367" s="3385"/>
      <c r="N367" s="402" t="s">
        <v>2454</v>
      </c>
      <c r="O367" s="2249" t="s">
        <v>3010</v>
      </c>
      <c r="P367" s="1282"/>
    </row>
    <row r="368" spans="1:19" ht="3" customHeight="1">
      <c r="C368" s="3385"/>
      <c r="D368" s="3385"/>
      <c r="E368" s="3385"/>
      <c r="F368" s="3385"/>
      <c r="G368" s="3385"/>
      <c r="H368" s="3385"/>
      <c r="I368" s="3385"/>
      <c r="J368" s="3385"/>
      <c r="K368" s="3385"/>
      <c r="L368" s="3385"/>
      <c r="M368" s="3385"/>
    </row>
    <row r="369" spans="1:18" ht="11.25" customHeight="1">
      <c r="A369" s="1124" t="s">
        <v>1999</v>
      </c>
      <c r="B369" s="184" t="s">
        <v>4104</v>
      </c>
      <c r="L369" s="391" t="str">
        <f>IF(OR($O369=$M369,$O369=0,$O369=""),"","* * Check Score! * *")</f>
        <v/>
      </c>
      <c r="M369" s="1236">
        <v>3</v>
      </c>
      <c r="N369" s="484" t="s">
        <v>1999</v>
      </c>
      <c r="O369" s="2201">
        <v>3</v>
      </c>
      <c r="P369" s="912"/>
      <c r="Q369" s="1090" t="str">
        <f>IF(OR($O369=$M369,$O369=0,$O369=""),"","*CHECK!*")</f>
        <v/>
      </c>
      <c r="R369" s="1192" t="s">
        <v>2724</v>
      </c>
    </row>
    <row r="370" spans="1:18" ht="22.5" customHeight="1">
      <c r="A370" s="1124"/>
      <c r="B370" s="456" t="s">
        <v>2002</v>
      </c>
      <c r="C370" s="3306" t="s">
        <v>4105</v>
      </c>
      <c r="D370" s="3306"/>
      <c r="E370" s="3306"/>
      <c r="F370" s="3306"/>
      <c r="G370" s="3306"/>
      <c r="H370" s="3306"/>
      <c r="I370" s="3306"/>
      <c r="J370" s="3599" t="s">
        <v>2006</v>
      </c>
      <c r="K370" s="3599"/>
      <c r="M370" s="3599" t="s">
        <v>2006</v>
      </c>
      <c r="N370" s="3599"/>
      <c r="O370" s="3599"/>
      <c r="P370" s="3599"/>
    </row>
    <row r="371" spans="1:18" s="44" customFormat="1" ht="10.5" customHeight="1">
      <c r="A371" s="182"/>
      <c r="B371" s="390" t="s">
        <v>2451</v>
      </c>
      <c r="C371" s="37" t="s">
        <v>1494</v>
      </c>
      <c r="I371" s="390" t="s">
        <v>2451</v>
      </c>
      <c r="J371" s="3587"/>
      <c r="K371" s="3588"/>
      <c r="L371" s="390" t="s">
        <v>2451</v>
      </c>
      <c r="M371" s="3485"/>
      <c r="N371" s="3486"/>
      <c r="O371" s="3486"/>
      <c r="P371" s="3487"/>
      <c r="R371" s="391"/>
    </row>
    <row r="372" spans="1:18" ht="10.5" customHeight="1">
      <c r="A372" s="183"/>
      <c r="B372" s="402" t="s">
        <v>2452</v>
      </c>
      <c r="C372" s="37" t="s">
        <v>3648</v>
      </c>
      <c r="I372" s="402" t="s">
        <v>2452</v>
      </c>
      <c r="J372" s="3479"/>
      <c r="K372" s="3480"/>
      <c r="L372" s="402" t="s">
        <v>2452</v>
      </c>
      <c r="M372" s="3476"/>
      <c r="N372" s="3477"/>
      <c r="O372" s="3477"/>
      <c r="P372" s="3478"/>
      <c r="R372" s="391"/>
    </row>
    <row r="373" spans="1:18" ht="10.5" customHeight="1">
      <c r="B373" s="390" t="s">
        <v>2453</v>
      </c>
      <c r="C373" s="37" t="s">
        <v>2643</v>
      </c>
      <c r="I373" s="390" t="s">
        <v>2453</v>
      </c>
      <c r="J373" s="3479"/>
      <c r="K373" s="3480"/>
      <c r="L373" s="390" t="s">
        <v>2453</v>
      </c>
      <c r="M373" s="3476"/>
      <c r="N373" s="3477"/>
      <c r="O373" s="3477"/>
      <c r="P373" s="3478"/>
      <c r="R373" s="391"/>
    </row>
    <row r="374" spans="1:18" ht="10.5" customHeight="1">
      <c r="A374" s="183"/>
      <c r="B374" s="390" t="s">
        <v>2454</v>
      </c>
      <c r="C374" s="37" t="s">
        <v>3483</v>
      </c>
      <c r="I374" s="390" t="s">
        <v>2454</v>
      </c>
      <c r="J374" s="3479"/>
      <c r="K374" s="3480"/>
      <c r="L374" s="390" t="s">
        <v>2454</v>
      </c>
      <c r="M374" s="3476"/>
      <c r="N374" s="3477"/>
      <c r="O374" s="3477"/>
      <c r="P374" s="3478"/>
      <c r="R374" s="391"/>
    </row>
    <row r="375" spans="1:18" s="44" customFormat="1" ht="10.5" customHeight="1">
      <c r="A375" s="182"/>
      <c r="B375" s="402" t="s">
        <v>2455</v>
      </c>
      <c r="C375" s="37" t="s">
        <v>2749</v>
      </c>
      <c r="I375" s="402" t="s">
        <v>2455</v>
      </c>
      <c r="J375" s="3479"/>
      <c r="K375" s="3480"/>
      <c r="L375" s="402" t="s">
        <v>2455</v>
      </c>
      <c r="M375" s="3476"/>
      <c r="N375" s="3477"/>
      <c r="O375" s="3477"/>
      <c r="P375" s="3478"/>
      <c r="R375" s="391"/>
    </row>
    <row r="376" spans="1:18" ht="10.5" customHeight="1">
      <c r="B376" s="390" t="s">
        <v>2471</v>
      </c>
      <c r="C376" s="37" t="s">
        <v>1493</v>
      </c>
      <c r="I376" s="390" t="s">
        <v>2471</v>
      </c>
      <c r="J376" s="3479"/>
      <c r="K376" s="3480"/>
      <c r="L376" s="390" t="s">
        <v>2471</v>
      </c>
      <c r="M376" s="3476"/>
      <c r="N376" s="3477"/>
      <c r="O376" s="3477"/>
      <c r="P376" s="3478"/>
      <c r="R376" s="391"/>
    </row>
    <row r="377" spans="1:18" ht="10.5" customHeight="1">
      <c r="A377" s="183"/>
      <c r="B377" s="390" t="s">
        <v>2472</v>
      </c>
      <c r="C377" s="37" t="s">
        <v>3646</v>
      </c>
      <c r="I377" s="390" t="s">
        <v>2472</v>
      </c>
      <c r="J377" s="3479"/>
      <c r="K377" s="3480"/>
      <c r="L377" s="390" t="s">
        <v>2472</v>
      </c>
      <c r="M377" s="3476"/>
      <c r="N377" s="3477"/>
      <c r="O377" s="3477"/>
      <c r="P377" s="3478"/>
      <c r="R377" s="391"/>
    </row>
    <row r="378" spans="1:18" ht="10.5" customHeight="1">
      <c r="A378" s="183"/>
      <c r="B378" s="401" t="s">
        <v>2473</v>
      </c>
      <c r="C378" s="37" t="s">
        <v>4108</v>
      </c>
      <c r="I378" s="401" t="s">
        <v>2473</v>
      </c>
      <c r="J378" s="3479"/>
      <c r="K378" s="3480"/>
      <c r="L378" s="401" t="s">
        <v>2473</v>
      </c>
      <c r="M378" s="3476"/>
      <c r="N378" s="3477"/>
      <c r="O378" s="3477"/>
      <c r="P378" s="3478"/>
      <c r="R378" s="391"/>
    </row>
    <row r="379" spans="1:18" ht="10.5" customHeight="1">
      <c r="B379" s="401" t="s">
        <v>2474</v>
      </c>
      <c r="C379" s="37" t="s">
        <v>3647</v>
      </c>
      <c r="I379" s="401" t="s">
        <v>2474</v>
      </c>
      <c r="J379" s="3479"/>
      <c r="K379" s="3480"/>
      <c r="L379" s="401" t="s">
        <v>2474</v>
      </c>
      <c r="M379" s="3476"/>
      <c r="N379" s="3477"/>
      <c r="O379" s="3477"/>
      <c r="P379" s="3478"/>
      <c r="R379" s="391"/>
    </row>
    <row r="380" spans="1:18" ht="10.5" customHeight="1" thickBot="1">
      <c r="B380" s="401" t="s">
        <v>3649</v>
      </c>
      <c r="C380" s="37" t="s">
        <v>4187</v>
      </c>
      <c r="I380" s="401" t="s">
        <v>3649</v>
      </c>
      <c r="J380" s="3479">
        <v>1400000</v>
      </c>
      <c r="K380" s="3480"/>
      <c r="L380" s="401" t="s">
        <v>3649</v>
      </c>
      <c r="M380" s="3570"/>
      <c r="N380" s="3571"/>
      <c r="O380" s="3571"/>
      <c r="P380" s="3572"/>
      <c r="R380" s="391"/>
    </row>
    <row r="381" spans="1:18" ht="10.5" customHeight="1" thickBot="1">
      <c r="A381" s="183"/>
      <c r="B381" s="1295" t="s">
        <v>4109</v>
      </c>
      <c r="H381" s="1331" t="s">
        <v>2645</v>
      </c>
      <c r="J381" s="3573">
        <f>SUM(J371:K380)</f>
        <v>1400000</v>
      </c>
      <c r="K381" s="3574"/>
      <c r="M381" s="3573">
        <f>SUM($M371:$M380)</f>
        <v>0</v>
      </c>
      <c r="N381" s="3575"/>
      <c r="O381" s="3575"/>
      <c r="P381" s="3574"/>
      <c r="R381" s="391"/>
    </row>
    <row r="382" spans="1:18" s="44" customFormat="1" ht="3" customHeight="1">
      <c r="A382" s="43"/>
      <c r="D382" s="40"/>
      <c r="E382" s="37"/>
      <c r="F382" s="941"/>
      <c r="G382" s="579"/>
      <c r="H382" s="287"/>
      <c r="J382" s="526"/>
      <c r="K382" s="526"/>
      <c r="L382" s="579"/>
      <c r="M382" s="526"/>
      <c r="N382" s="526"/>
      <c r="O382" s="1221"/>
      <c r="P382" s="526"/>
    </row>
    <row r="383" spans="1:18" ht="10.5" customHeight="1">
      <c r="B383" s="1124" t="s">
        <v>2004</v>
      </c>
      <c r="C383" s="539" t="s">
        <v>2644</v>
      </c>
      <c r="E383" s="448" t="s">
        <v>2646</v>
      </c>
      <c r="H383" s="2250">
        <v>13639318</v>
      </c>
      <c r="I383" s="1230"/>
      <c r="J383" s="3535">
        <f>'Part IV-A-Uses of Funds'!$G$132</f>
        <v>13639318</v>
      </c>
      <c r="K383" s="3536"/>
      <c r="M383" s="526"/>
      <c r="N383" s="526"/>
      <c r="O383" s="164"/>
      <c r="P383" s="526"/>
    </row>
    <row r="384" spans="1:18" ht="10.5" customHeight="1">
      <c r="A384" s="3576" t="s">
        <v>4300</v>
      </c>
      <c r="B384" s="3576"/>
      <c r="C384" s="3576"/>
      <c r="D384" s="3576"/>
      <c r="E384" s="453" t="s">
        <v>2647</v>
      </c>
      <c r="H384" s="2251">
        <v>0.102644</v>
      </c>
      <c r="I384" s="1230"/>
      <c r="J384" s="3537">
        <f>IF($J383=0,0,$J381/$J383)</f>
        <v>0.10264442840910373</v>
      </c>
      <c r="K384" s="3538"/>
      <c r="M384" s="3539">
        <f>IF($J383=0,0,$M381/$J383)</f>
        <v>0</v>
      </c>
      <c r="N384" s="3540"/>
      <c r="O384" s="3540"/>
      <c r="P384" s="3541"/>
    </row>
    <row r="385" spans="1:23" s="44" customFormat="1" ht="10.5" customHeight="1">
      <c r="A385" s="3576"/>
      <c r="B385" s="3576"/>
      <c r="C385" s="3576"/>
      <c r="D385" s="3576"/>
      <c r="E385" s="1160" t="s">
        <v>4299</v>
      </c>
      <c r="H385" s="2252">
        <v>3</v>
      </c>
      <c r="I385" s="1230"/>
      <c r="J385" s="3482">
        <f>IF(L364="", IF($J384&gt;=0.1, 3,IF($J384&gt;=0.05, 2,IF($J384&gt;=0.02,1,0))),0)</f>
        <v>3</v>
      </c>
      <c r="K385" s="3484"/>
      <c r="L385" s="537"/>
      <c r="M385" s="3482">
        <f>IF(R364="", IF($M384&gt;=0.1, 3,IF($M384&gt;=0.05, 2,IF($M384&gt;=0.02,1,0))),0)</f>
        <v>0</v>
      </c>
      <c r="N385" s="3483"/>
      <c r="O385" s="3483"/>
      <c r="P385" s="3484"/>
    </row>
    <row r="386" spans="1:23" ht="3" customHeight="1" thickBot="1"/>
    <row r="387" spans="1:23" s="105" customFormat="1" ht="12.75" customHeight="1" thickBot="1">
      <c r="A387" s="143" t="s">
        <v>2001</v>
      </c>
      <c r="B387" s="186" t="s">
        <v>3650</v>
      </c>
      <c r="D387" s="40"/>
      <c r="E387" s="37"/>
      <c r="F387" s="941"/>
      <c r="H387" s="37"/>
      <c r="I387" s="941"/>
      <c r="J387" s="956"/>
      <c r="K387" s="956"/>
      <c r="L387" s="391" t="str">
        <f>IF(OR($O387=$M387,$O387=0,$O387=""),"","* * Check Score! * *")</f>
        <v/>
      </c>
      <c r="M387" s="627">
        <v>1</v>
      </c>
      <c r="N387" s="67" t="s">
        <v>2001</v>
      </c>
      <c r="O387" s="2205">
        <v>1</v>
      </c>
      <c r="P387" s="1231"/>
      <c r="Q387" s="112" t="s">
        <v>443</v>
      </c>
      <c r="R387" s="1192" t="s">
        <v>2724</v>
      </c>
      <c r="V387" s="1169"/>
      <c r="W387" s="1169"/>
    </row>
    <row r="388" spans="1:23" s="44" customFormat="1" ht="22.5" customHeight="1">
      <c r="A388" s="143"/>
      <c r="B388" s="1102" t="s">
        <v>2451</v>
      </c>
      <c r="C388" s="3198" t="s">
        <v>4106</v>
      </c>
      <c r="D388" s="3198"/>
      <c r="E388" s="3198"/>
      <c r="F388" s="3198"/>
      <c r="G388" s="3198"/>
      <c r="H388" s="3198"/>
      <c r="I388" s="3198"/>
      <c r="J388" s="3198"/>
      <c r="K388" s="3198"/>
      <c r="L388" s="3198"/>
      <c r="M388" s="3198"/>
      <c r="N388" s="402" t="s">
        <v>2451</v>
      </c>
      <c r="O388" s="2253" t="s">
        <v>3010</v>
      </c>
      <c r="P388" s="1248"/>
      <c r="V388" s="1169"/>
      <c r="W388" s="1169"/>
    </row>
    <row r="389" spans="1:23" s="44" customFormat="1" ht="10.5" customHeight="1">
      <c r="A389" s="143"/>
      <c r="B389" s="390" t="s">
        <v>2452</v>
      </c>
      <c r="C389" s="53" t="s">
        <v>3829</v>
      </c>
      <c r="D389" s="53"/>
      <c r="E389" s="53"/>
      <c r="F389" s="53"/>
      <c r="G389" s="53"/>
      <c r="H389" s="53"/>
      <c r="I389" s="53"/>
      <c r="J389" s="53"/>
      <c r="K389" s="53"/>
      <c r="M389" s="53"/>
      <c r="N389" s="402" t="s">
        <v>2452</v>
      </c>
      <c r="O389" s="2192" t="s">
        <v>3010</v>
      </c>
      <c r="P389" s="563"/>
      <c r="V389" s="1169"/>
      <c r="W389" s="1169"/>
    </row>
    <row r="390" spans="1:23" ht="10.5" customHeight="1">
      <c r="B390" s="390" t="s">
        <v>2453</v>
      </c>
      <c r="C390" s="446" t="s">
        <v>4107</v>
      </c>
      <c r="N390" s="390" t="s">
        <v>2453</v>
      </c>
      <c r="O390" s="2192" t="s">
        <v>3010</v>
      </c>
      <c r="P390" s="563"/>
    </row>
    <row r="391" spans="1:23" ht="12" customHeight="1" thickBot="1">
      <c r="B391" s="1332" t="s">
        <v>3780</v>
      </c>
    </row>
    <row r="392" spans="1:23" s="44" customFormat="1" ht="69" customHeight="1" thickTop="1" thickBot="1">
      <c r="A392" s="3455" t="s">
        <v>4728</v>
      </c>
      <c r="B392" s="3456"/>
      <c r="C392" s="3456"/>
      <c r="D392" s="3456"/>
      <c r="E392" s="3456"/>
      <c r="F392" s="3456"/>
      <c r="G392" s="3456"/>
      <c r="H392" s="3456"/>
      <c r="I392" s="3456"/>
      <c r="J392" s="3456"/>
      <c r="K392" s="3456"/>
      <c r="L392" s="3456"/>
      <c r="M392" s="3456"/>
      <c r="N392" s="3456"/>
      <c r="O392" s="3456"/>
      <c r="P392" s="3457"/>
      <c r="Q392" s="1174" t="s">
        <v>1266</v>
      </c>
    </row>
    <row r="393" spans="1:23" s="105" customFormat="1" ht="11.25" customHeight="1" thickTop="1">
      <c r="A393" s="43"/>
      <c r="B393" s="528" t="s">
        <v>1880</v>
      </c>
      <c r="C393" s="101"/>
      <c r="D393" s="100"/>
      <c r="E393" s="1606"/>
      <c r="F393" s="1594"/>
      <c r="G393" s="1594"/>
      <c r="H393" s="1594"/>
      <c r="I393" s="1594"/>
      <c r="J393" s="1594"/>
      <c r="K393" s="1594"/>
      <c r="L393" s="1594"/>
      <c r="M393" s="1594"/>
      <c r="N393" s="96"/>
      <c r="O393" s="925"/>
      <c r="P393" s="1584"/>
      <c r="Q393" s="441"/>
    </row>
    <row r="394" spans="1:23" s="44" customFormat="1" ht="11.25" customHeight="1">
      <c r="A394" s="3159"/>
      <c r="B394" s="3160"/>
      <c r="C394" s="3160"/>
      <c r="D394" s="3160"/>
      <c r="E394" s="3160"/>
      <c r="F394" s="3160"/>
      <c r="G394" s="3160"/>
      <c r="H394" s="3160"/>
      <c r="I394" s="3160"/>
      <c r="J394" s="3160"/>
      <c r="K394" s="3160"/>
      <c r="L394" s="3160"/>
      <c r="M394" s="3160"/>
      <c r="N394" s="3160"/>
      <c r="O394" s="3160"/>
      <c r="P394" s="3161"/>
      <c r="Q394" s="461"/>
    </row>
    <row r="395" spans="1:23" s="44" customFormat="1" ht="3" customHeight="1" thickBot="1">
      <c r="A395" s="43"/>
      <c r="B395" s="43"/>
      <c r="C395" s="1592"/>
      <c r="D395" s="1592"/>
      <c r="E395" s="1592"/>
      <c r="F395" s="1592"/>
      <c r="G395" s="1592"/>
      <c r="H395" s="1592"/>
      <c r="I395" s="1592"/>
      <c r="J395" s="1592"/>
      <c r="K395" s="1592"/>
      <c r="L395" s="1592"/>
      <c r="M395" s="1592"/>
      <c r="N395" s="77"/>
      <c r="O395" s="73"/>
      <c r="P395" s="941"/>
    </row>
    <row r="396" spans="1:23" s="44" customFormat="1" ht="12.75" customHeight="1" thickBot="1">
      <c r="A396" s="159" t="s">
        <v>4148</v>
      </c>
      <c r="C396" s="109" t="s">
        <v>2737</v>
      </c>
      <c r="D396" s="59"/>
      <c r="E396" s="53"/>
      <c r="J396" s="62"/>
      <c r="M396" s="1584">
        <v>3</v>
      </c>
      <c r="N396" s="6"/>
      <c r="O396" s="1194">
        <f>MIN($M396,O397+O405)</f>
        <v>3</v>
      </c>
      <c r="P396" s="1247">
        <f>MIN($M396,P397+P405)</f>
        <v>0</v>
      </c>
      <c r="Q396" s="112" t="s">
        <v>443</v>
      </c>
    </row>
    <row r="397" spans="1:23" s="44" customFormat="1" ht="12" customHeight="1">
      <c r="A397" s="143" t="s">
        <v>1999</v>
      </c>
      <c r="B397" s="172" t="s">
        <v>3676</v>
      </c>
      <c r="D397" s="34"/>
      <c r="E397" s="34"/>
      <c r="F397" s="34"/>
      <c r="J397" s="1336" t="s">
        <v>3840</v>
      </c>
      <c r="K397" s="1337"/>
      <c r="L397" s="1125">
        <f>'Part VI-Revenues &amp; Expenses'!$O$62*0.1</f>
        <v>6.5</v>
      </c>
      <c r="M397" s="6">
        <v>2</v>
      </c>
      <c r="N397" s="484" t="s">
        <v>1999</v>
      </c>
      <c r="O397" s="1246">
        <f>IF(AND($M$398="",O398="Agree",O401="Yes",O402="Yes",O403="Yes"),$M$397,0)</f>
        <v>0</v>
      </c>
      <c r="P397" s="1246">
        <f>IF(AND(P398="Agree",P401="Yes",P402="Yes",P403="Yes"),$M$397,0)</f>
        <v>0</v>
      </c>
      <c r="Q397" s="403"/>
      <c r="R397" s="112"/>
    </row>
    <row r="398" spans="1:23" s="427" customFormat="1" ht="11.25" customHeight="1">
      <c r="A398" s="148"/>
      <c r="B398" s="456" t="s">
        <v>2002</v>
      </c>
      <c r="C398" s="3271" t="s">
        <v>3839</v>
      </c>
      <c r="D398" s="3271"/>
      <c r="E398" s="3271"/>
      <c r="F398" s="3271"/>
      <c r="G398" s="3271"/>
      <c r="H398" s="3271"/>
      <c r="I398" s="3271"/>
      <c r="J398" s="1338" t="s">
        <v>3842</v>
      </c>
      <c r="K398" s="1334"/>
      <c r="L398" s="1127">
        <f>'Part VI-Revenues &amp; Expenses'!$O$58</f>
        <v>65</v>
      </c>
      <c r="M398" s="3481" t="str">
        <f>IF(L400&lt;L399,"Check 1BR LI count!","")</f>
        <v>Check 1BR LI count!</v>
      </c>
      <c r="N398" s="404" t="s">
        <v>2002</v>
      </c>
      <c r="O398" s="2235"/>
      <c r="P398" s="1262"/>
      <c r="Q398" s="541"/>
      <c r="R398" s="535"/>
    </row>
    <row r="399" spans="1:23" s="427" customFormat="1" ht="11.25" customHeight="1">
      <c r="A399" s="148"/>
      <c r="B399" s="456"/>
      <c r="C399" s="3271"/>
      <c r="D399" s="3271"/>
      <c r="E399" s="3271"/>
      <c r="F399" s="3271"/>
      <c r="G399" s="3271"/>
      <c r="H399" s="3271"/>
      <c r="I399" s="3271"/>
      <c r="J399" s="1338" t="s">
        <v>3843</v>
      </c>
      <c r="K399" s="1335"/>
      <c r="L399" s="1128">
        <f>L398*0.1</f>
        <v>6.5</v>
      </c>
      <c r="M399" s="3481"/>
      <c r="N399" s="404"/>
      <c r="O399" s="404"/>
      <c r="P399" s="404"/>
      <c r="Q399" s="541"/>
      <c r="R399" s="535"/>
    </row>
    <row r="400" spans="1:23" s="427" customFormat="1" ht="11.25" customHeight="1">
      <c r="A400" s="148"/>
      <c r="B400" s="456"/>
      <c r="C400" s="3271"/>
      <c r="D400" s="3271"/>
      <c r="E400" s="3271"/>
      <c r="F400" s="3271"/>
      <c r="G400" s="3271"/>
      <c r="H400" s="3271"/>
      <c r="I400" s="3271"/>
      <c r="J400" s="1339" t="s">
        <v>3844</v>
      </c>
      <c r="K400" s="1340"/>
      <c r="L400" s="1129">
        <f>'Part VI-Revenues &amp; Expenses'!$K$58</f>
        <v>0</v>
      </c>
      <c r="M400" s="3481"/>
      <c r="N400" s="404"/>
      <c r="O400" s="404"/>
      <c r="P400" s="404"/>
      <c r="Q400" s="541"/>
      <c r="R400" s="535"/>
    </row>
    <row r="401" spans="1:18" s="451" customFormat="1" ht="11.25" customHeight="1">
      <c r="A401" s="552"/>
      <c r="B401" s="456" t="s">
        <v>2004</v>
      </c>
      <c r="C401" s="3499" t="s">
        <v>3415</v>
      </c>
      <c r="D401" s="3499"/>
      <c r="E401" s="3499"/>
      <c r="F401" s="3499"/>
      <c r="G401" s="3499"/>
      <c r="H401" s="3499"/>
      <c r="I401" s="3499"/>
      <c r="J401" s="3499"/>
      <c r="K401" s="3499"/>
      <c r="L401" s="3499"/>
      <c r="M401" s="3499"/>
      <c r="N401" s="404" t="s">
        <v>2004</v>
      </c>
      <c r="O401" s="2193"/>
      <c r="P401" s="561"/>
    </row>
    <row r="402" spans="1:18" s="451" customFormat="1" ht="11.25" customHeight="1">
      <c r="A402" s="552"/>
      <c r="B402" s="456" t="s">
        <v>2551</v>
      </c>
      <c r="C402" s="405" t="s">
        <v>3841</v>
      </c>
      <c r="D402" s="405"/>
      <c r="E402" s="405"/>
      <c r="F402" s="405"/>
      <c r="G402" s="405"/>
      <c r="H402" s="405"/>
      <c r="I402" s="405"/>
      <c r="J402" s="405"/>
      <c r="K402" s="405"/>
      <c r="L402" s="405"/>
      <c r="M402" s="405"/>
      <c r="N402" s="404" t="s">
        <v>2551</v>
      </c>
      <c r="O402" s="2196"/>
      <c r="P402" s="562"/>
    </row>
    <row r="403" spans="1:18" s="451" customFormat="1" ht="11.25" customHeight="1">
      <c r="A403" s="552"/>
      <c r="B403" s="456" t="s">
        <v>1236</v>
      </c>
      <c r="C403" s="3499" t="s">
        <v>3838</v>
      </c>
      <c r="D403" s="3499"/>
      <c r="E403" s="3499"/>
      <c r="F403" s="3499"/>
      <c r="G403" s="3499"/>
      <c r="H403" s="3499"/>
      <c r="I403" s="3499"/>
      <c r="J403" s="3499"/>
      <c r="K403" s="3499"/>
      <c r="L403" s="3499"/>
      <c r="M403" s="3499"/>
      <c r="N403" s="404" t="s">
        <v>1236</v>
      </c>
      <c r="O403" s="2192"/>
      <c r="P403" s="563"/>
    </row>
    <row r="404" spans="1:18" s="451" customFormat="1" ht="3" customHeight="1">
      <c r="B404" s="499"/>
      <c r="C404" s="1603"/>
      <c r="D404" s="1603"/>
      <c r="E404" s="1603"/>
      <c r="F404" s="1603"/>
      <c r="G404" s="1603"/>
      <c r="H404" s="1603"/>
      <c r="M404" s="1603"/>
      <c r="N404" s="1603"/>
      <c r="O404" s="1603"/>
      <c r="P404" s="1603"/>
    </row>
    <row r="405" spans="1:18" s="44" customFormat="1" ht="12" customHeight="1">
      <c r="A405" s="143" t="s">
        <v>2001</v>
      </c>
      <c r="B405" s="172" t="s">
        <v>2738</v>
      </c>
      <c r="D405" s="41"/>
      <c r="G405" s="37"/>
      <c r="M405" s="6">
        <v>3</v>
      </c>
      <c r="N405" s="484" t="s">
        <v>2001</v>
      </c>
      <c r="O405" s="1130">
        <f>IF(AND(O406="Agree",O408="Agree",$M$408&gt;=15%),$M$405,0)</f>
        <v>3</v>
      </c>
      <c r="P405" s="1130">
        <f>IF(AND(P406="Agree",P408="Agree",$M$408&gt;=15%),$M$405,0)</f>
        <v>0</v>
      </c>
      <c r="Q405" s="403"/>
      <c r="R405" s="391"/>
    </row>
    <row r="406" spans="1:18" s="427" customFormat="1" ht="22.5" customHeight="1">
      <c r="A406" s="148"/>
      <c r="B406" s="456" t="s">
        <v>2002</v>
      </c>
      <c r="C406" s="3271" t="s">
        <v>3861</v>
      </c>
      <c r="D406" s="3271"/>
      <c r="E406" s="3271"/>
      <c r="F406" s="3271"/>
      <c r="G406" s="3271"/>
      <c r="H406" s="3271"/>
      <c r="I406" s="3271"/>
      <c r="J406" s="3271"/>
      <c r="K406" s="3271"/>
      <c r="L406" s="3271"/>
      <c r="M406" s="622"/>
      <c r="N406" s="404" t="s">
        <v>2002</v>
      </c>
      <c r="O406" s="2235" t="s">
        <v>4599</v>
      </c>
      <c r="P406" s="1262"/>
      <c r="Q406" s="541"/>
      <c r="R406" s="535"/>
    </row>
    <row r="407" spans="1:18" s="427" customFormat="1" ht="11.25" customHeight="1">
      <c r="A407" s="148"/>
      <c r="B407" s="456"/>
      <c r="C407" s="498" t="s">
        <v>3681</v>
      </c>
      <c r="D407" s="1596"/>
      <c r="E407" s="1596"/>
      <c r="F407" s="1596"/>
      <c r="G407" s="3567" t="s">
        <v>4574</v>
      </c>
      <c r="H407" s="3568"/>
      <c r="I407" s="3569"/>
      <c r="J407" s="1369" t="s">
        <v>3682</v>
      </c>
      <c r="L407" s="2254" t="s">
        <v>4718</v>
      </c>
      <c r="M407" s="622"/>
      <c r="N407" s="404"/>
      <c r="O407" s="404"/>
      <c r="P407" s="404"/>
      <c r="Q407" s="541"/>
      <c r="R407" s="535"/>
    </row>
    <row r="408" spans="1:18" s="451" customFormat="1" ht="11.25" customHeight="1">
      <c r="A408" s="552"/>
      <c r="B408" s="456" t="s">
        <v>2004</v>
      </c>
      <c r="C408" s="405" t="s">
        <v>3416</v>
      </c>
      <c r="D408" s="405"/>
      <c r="E408" s="405"/>
      <c r="F408" s="405"/>
      <c r="G408" s="405"/>
      <c r="H408" s="405"/>
      <c r="I408" s="405"/>
      <c r="J408" s="405" t="s">
        <v>3680</v>
      </c>
      <c r="K408" s="405"/>
      <c r="L408" s="2255">
        <v>10</v>
      </c>
      <c r="M408" s="973">
        <f>IF('Part VI-Revenues &amp; Expenses'!$O$62=0,0,L408/'Part VI-Revenues &amp; Expenses'!$O$62)</f>
        <v>0.15384615384615385</v>
      </c>
      <c r="N408" s="404" t="s">
        <v>2004</v>
      </c>
      <c r="O408" s="2235" t="s">
        <v>4599</v>
      </c>
      <c r="P408" s="1262"/>
    </row>
    <row r="409" spans="1:18" s="44" customFormat="1" ht="11.25" customHeight="1" thickBot="1">
      <c r="A409" s="43"/>
      <c r="B409" s="1332" t="s">
        <v>3780</v>
      </c>
      <c r="C409" s="43"/>
      <c r="D409" s="49"/>
      <c r="E409" s="49"/>
      <c r="F409" s="49"/>
      <c r="G409" s="49"/>
      <c r="H409" s="37"/>
      <c r="I409" s="37"/>
      <c r="J409" s="37"/>
      <c r="K409" s="37"/>
      <c r="M409" s="47"/>
      <c r="N409" s="63"/>
      <c r="O409" s="3"/>
      <c r="P409" s="1587"/>
    </row>
    <row r="410" spans="1:18" s="44" customFormat="1" ht="139.9" customHeight="1" thickTop="1" thickBot="1">
      <c r="A410" s="3455" t="s">
        <v>4719</v>
      </c>
      <c r="B410" s="3456"/>
      <c r="C410" s="3456"/>
      <c r="D410" s="3456"/>
      <c r="E410" s="3456"/>
      <c r="F410" s="3456"/>
      <c r="G410" s="3456"/>
      <c r="H410" s="3456"/>
      <c r="I410" s="3456"/>
      <c r="J410" s="3456"/>
      <c r="K410" s="3456"/>
      <c r="L410" s="3456"/>
      <c r="M410" s="3456"/>
      <c r="N410" s="3456"/>
      <c r="O410" s="3456"/>
      <c r="P410" s="3457"/>
      <c r="Q410" s="1174" t="s">
        <v>1266</v>
      </c>
      <c r="R410" s="462"/>
    </row>
    <row r="411" spans="1:18" s="44" customFormat="1" ht="10.5" customHeight="1" thickTop="1">
      <c r="B411" s="88" t="s">
        <v>1880</v>
      </c>
      <c r="C411" s="101"/>
      <c r="D411" s="88"/>
      <c r="E411" s="102"/>
      <c r="F411" s="1592"/>
      <c r="G411" s="1592"/>
      <c r="H411" s="1592"/>
      <c r="I411" s="1592"/>
      <c r="J411" s="1592"/>
      <c r="K411" s="1592"/>
      <c r="L411" s="1592"/>
      <c r="M411" s="1592"/>
      <c r="N411" s="77"/>
      <c r="O411" s="73"/>
      <c r="P411" s="1584"/>
      <c r="Q411" s="441"/>
    </row>
    <row r="412" spans="1:18" s="44" customFormat="1" ht="11.25" customHeight="1">
      <c r="A412" s="3159"/>
      <c r="B412" s="3160"/>
      <c r="C412" s="3160"/>
      <c r="D412" s="3160"/>
      <c r="E412" s="3160"/>
      <c r="F412" s="3160"/>
      <c r="G412" s="3160"/>
      <c r="H412" s="3160"/>
      <c r="I412" s="3160"/>
      <c r="J412" s="3160"/>
      <c r="K412" s="3160"/>
      <c r="L412" s="3160"/>
      <c r="M412" s="3160"/>
      <c r="N412" s="3160"/>
      <c r="O412" s="3160"/>
      <c r="P412" s="3161"/>
      <c r="Q412" s="461"/>
    </row>
    <row r="413" spans="1:18" s="44" customFormat="1" ht="3" customHeight="1" thickBot="1">
      <c r="A413" s="43"/>
      <c r="B413" s="43"/>
      <c r="C413" s="1592"/>
      <c r="D413" s="1592"/>
      <c r="E413" s="1592"/>
      <c r="F413" s="1592"/>
      <c r="G413" s="1592"/>
      <c r="H413" s="1592"/>
      <c r="I413" s="1592"/>
      <c r="J413" s="1592"/>
      <c r="K413" s="1592"/>
      <c r="L413" s="1592"/>
      <c r="M413" s="1592"/>
      <c r="N413" s="77"/>
      <c r="O413" s="73"/>
      <c r="P413" s="941"/>
    </row>
    <row r="414" spans="1:18" s="44" customFormat="1" ht="13.5" customHeight="1" thickBot="1">
      <c r="A414" s="158" t="s">
        <v>4151</v>
      </c>
      <c r="B414" s="108" t="s">
        <v>2739</v>
      </c>
      <c r="D414" s="41"/>
      <c r="G414" s="62" t="s">
        <v>3412</v>
      </c>
      <c r="J414" s="37" t="s">
        <v>3418</v>
      </c>
      <c r="K414" s="105"/>
      <c r="L414" s="551">
        <f>'Part VI-Revenues &amp; Expenses'!$O$84</f>
        <v>0</v>
      </c>
      <c r="M414" s="1584">
        <v>1</v>
      </c>
      <c r="N414" s="484"/>
      <c r="O414" s="1247">
        <f>MIN($M414,O418+O425)</f>
        <v>0</v>
      </c>
      <c r="P414" s="1247">
        <f>MIN($M414,P418+P425)</f>
        <v>0</v>
      </c>
      <c r="Q414" s="112" t="s">
        <v>443</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3484</v>
      </c>
      <c r="D416" s="3500" t="s">
        <v>2922</v>
      </c>
      <c r="E416" s="3459"/>
      <c r="F416" s="3459"/>
      <c r="G416" s="3459"/>
      <c r="H416" s="3459"/>
      <c r="I416" s="3501"/>
      <c r="J416" s="405" t="s">
        <v>2849</v>
      </c>
      <c r="L416" s="551">
        <f>'Part III-Sources of Funds'!$I$51</f>
        <v>0</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68" t="s">
        <v>1999</v>
      </c>
      <c r="B418" s="89" t="s">
        <v>3702</v>
      </c>
      <c r="C418" s="405"/>
      <c r="D418" s="405"/>
      <c r="E418" s="405"/>
      <c r="F418" s="405"/>
      <c r="G418" s="405"/>
      <c r="H418" s="405"/>
      <c r="I418" s="405"/>
      <c r="M418" s="428">
        <v>1</v>
      </c>
      <c r="N418" s="166" t="s">
        <v>1999</v>
      </c>
      <c r="O418" s="2201"/>
      <c r="P418" s="912"/>
      <c r="Q418" s="1090" t="str">
        <f>IF(OR($O418=$M418,$O418=0,$O418=""),"","*CHECK!*")</f>
        <v/>
      </c>
      <c r="R418" s="1192" t="s">
        <v>2724</v>
      </c>
    </row>
    <row r="419" spans="1:19" s="427" customFormat="1" ht="12" customHeight="1">
      <c r="A419" s="426"/>
      <c r="B419" s="3351" t="s">
        <v>4246</v>
      </c>
      <c r="C419" s="3351"/>
      <c r="D419" s="3351"/>
      <c r="E419" s="3351"/>
      <c r="F419" s="3351"/>
      <c r="G419" s="3351"/>
      <c r="H419" s="3351"/>
      <c r="I419" s="3351"/>
      <c r="J419" s="3351"/>
      <c r="K419" s="3351"/>
      <c r="L419" s="3351"/>
      <c r="M419" s="3271" t="s">
        <v>4248</v>
      </c>
      <c r="N419" s="3271"/>
      <c r="Q419" s="179"/>
    </row>
    <row r="420" spans="1:19" s="427" customFormat="1" ht="12" customHeight="1">
      <c r="B420" s="3351"/>
      <c r="C420" s="3351"/>
      <c r="D420" s="3351"/>
      <c r="E420" s="3351"/>
      <c r="F420" s="3351"/>
      <c r="G420" s="3351"/>
      <c r="H420" s="3351"/>
      <c r="I420" s="3351"/>
      <c r="J420" s="3351"/>
      <c r="K420" s="3351"/>
      <c r="L420" s="3351"/>
      <c r="M420" s="3271"/>
      <c r="N420" s="3271"/>
      <c r="O420" s="3542">
        <f>'Part VI-Revenues &amp; Expenses'!$O$82</f>
        <v>0</v>
      </c>
      <c r="P420" s="3543"/>
      <c r="Q420" s="179"/>
    </row>
    <row r="421" spans="1:19" s="427" customFormat="1" ht="12" customHeight="1">
      <c r="B421" s="3351"/>
      <c r="C421" s="3351"/>
      <c r="D421" s="3351"/>
      <c r="E421" s="3351"/>
      <c r="F421" s="3351"/>
      <c r="G421" s="3351"/>
      <c r="H421" s="3351"/>
      <c r="I421" s="3351"/>
      <c r="J421" s="3351"/>
      <c r="K421" s="3351"/>
      <c r="L421" s="3351"/>
      <c r="M421" s="41" t="s">
        <v>2847</v>
      </c>
      <c r="N421" s="428"/>
      <c r="O421" s="3542">
        <f>'Part VI-Revenues &amp; Expenses'!$O$62</f>
        <v>65</v>
      </c>
      <c r="P421" s="3543"/>
      <c r="Q421" s="179"/>
    </row>
    <row r="422" spans="1:19" s="427" customFormat="1" ht="12" customHeight="1">
      <c r="B422" s="3534"/>
      <c r="C422" s="3534"/>
      <c r="D422" s="3534"/>
      <c r="E422" s="3534"/>
      <c r="F422" s="3534"/>
      <c r="G422" s="3534"/>
      <c r="H422" s="3534"/>
      <c r="I422" s="3534"/>
      <c r="J422" s="3534"/>
      <c r="K422" s="3534"/>
      <c r="L422" s="3534"/>
      <c r="M422" s="550" t="s">
        <v>2848</v>
      </c>
      <c r="N422" s="428"/>
      <c r="O422" s="3530">
        <f>IF(O421=0,0,O420/O421)</f>
        <v>0</v>
      </c>
      <c r="P422" s="3531"/>
      <c r="Q422" s="179"/>
    </row>
    <row r="423" spans="1:19" s="44" customFormat="1" ht="66.75" customHeight="1">
      <c r="A423" s="552"/>
      <c r="B423" s="3496" t="s">
        <v>4253</v>
      </c>
      <c r="C423" s="3497"/>
      <c r="D423" s="3497"/>
      <c r="E423" s="3497"/>
      <c r="F423" s="3497"/>
      <c r="G423" s="3497"/>
      <c r="H423" s="3497"/>
      <c r="I423" s="3497"/>
      <c r="J423" s="3497"/>
      <c r="K423" s="3497"/>
      <c r="L423" s="3497"/>
      <c r="M423" s="3497"/>
      <c r="N423" s="3497"/>
      <c r="O423" s="3497"/>
      <c r="P423" s="3498"/>
      <c r="Q423" s="461" t="s">
        <v>1266</v>
      </c>
      <c r="R423" s="1174"/>
      <c r="S423" s="1174"/>
    </row>
    <row r="424" spans="1:19" s="427" customFormat="1" ht="1.5" customHeight="1">
      <c r="A424" s="619"/>
      <c r="B424" s="456"/>
      <c r="F424" s="449"/>
      <c r="G424" s="955"/>
      <c r="M424" s="428"/>
      <c r="N424" s="428"/>
      <c r="O424" s="428"/>
      <c r="P424" s="428"/>
      <c r="Q424" s="179"/>
    </row>
    <row r="425" spans="1:19" s="427" customFormat="1" ht="11.25" customHeight="1">
      <c r="A425" s="553" t="s">
        <v>4252</v>
      </c>
      <c r="B425" s="994" t="s">
        <v>3378</v>
      </c>
      <c r="C425" s="144"/>
      <c r="D425" s="924"/>
      <c r="H425" s="405"/>
      <c r="M425" s="428">
        <v>1</v>
      </c>
      <c r="N425" s="166" t="s">
        <v>2001</v>
      </c>
      <c r="O425" s="2201"/>
      <c r="P425" s="912"/>
      <c r="Q425" s="1090" t="str">
        <f>IF(OR($O425=$M425,$O425=0,$O425=""),"","*CHECK!*")</f>
        <v/>
      </c>
      <c r="R425" s="1192" t="s">
        <v>2724</v>
      </c>
    </row>
    <row r="426" spans="1:19" s="427" customFormat="1" ht="11.25" customHeight="1">
      <c r="A426" s="553"/>
      <c r="B426" s="3198" t="s">
        <v>4247</v>
      </c>
      <c r="C426" s="3198"/>
      <c r="D426" s="3198"/>
      <c r="E426" s="3198"/>
      <c r="F426" s="3198"/>
      <c r="G426" s="3198"/>
      <c r="H426" s="3198"/>
      <c r="I426" s="3198"/>
      <c r="J426" s="3198"/>
      <c r="K426" s="3198"/>
      <c r="L426" s="3198"/>
      <c r="M426" s="498" t="s">
        <v>2847</v>
      </c>
      <c r="N426" s="428"/>
      <c r="O426" s="3532">
        <f>'Part VI-Revenues &amp; Expenses'!$O$62</f>
        <v>65</v>
      </c>
      <c r="P426" s="3533"/>
      <c r="Q426" s="179"/>
    </row>
    <row r="427" spans="1:19" s="427" customFormat="1" ht="11.25" customHeight="1">
      <c r="A427" s="553"/>
      <c r="B427" s="3198"/>
      <c r="C427" s="3198"/>
      <c r="D427" s="3198"/>
      <c r="E427" s="3198"/>
      <c r="F427" s="3198"/>
      <c r="G427" s="3198"/>
      <c r="H427" s="3198"/>
      <c r="I427" s="3198"/>
      <c r="J427" s="3198"/>
      <c r="K427" s="3198"/>
      <c r="L427" s="3198"/>
      <c r="M427" s="550" t="s">
        <v>2848</v>
      </c>
      <c r="N427" s="428"/>
      <c r="O427" s="3530">
        <f>IF(O426=0,0,L414/O426)</f>
        <v>0</v>
      </c>
      <c r="P427" s="3531"/>
      <c r="Q427" s="179"/>
    </row>
    <row r="428" spans="1:19" s="44" customFormat="1" ht="11.25" customHeight="1" thickBot="1">
      <c r="A428" s="43"/>
      <c r="B428" s="1332" t="s">
        <v>3780</v>
      </c>
      <c r="C428" s="43"/>
      <c r="D428" s="49"/>
      <c r="E428" s="49"/>
      <c r="F428" s="49"/>
      <c r="G428" s="49"/>
      <c r="H428" s="37"/>
      <c r="I428" s="37"/>
      <c r="J428" s="37"/>
      <c r="K428" s="37"/>
      <c r="M428" s="47"/>
      <c r="N428" s="63"/>
      <c r="O428" s="3"/>
      <c r="P428" s="1587"/>
    </row>
    <row r="429" spans="1:19" s="44" customFormat="1" ht="21.75" customHeight="1" thickTop="1" thickBot="1">
      <c r="A429" s="3455" t="s">
        <v>979</v>
      </c>
      <c r="B429" s="3456"/>
      <c r="C429" s="3456"/>
      <c r="D429" s="3456"/>
      <c r="E429" s="3456"/>
      <c r="F429" s="3456"/>
      <c r="G429" s="3456"/>
      <c r="H429" s="3456"/>
      <c r="I429" s="3456"/>
      <c r="J429" s="3456"/>
      <c r="K429" s="3456"/>
      <c r="L429" s="3456"/>
      <c r="M429" s="3456"/>
      <c r="N429" s="3456"/>
      <c r="O429" s="3456"/>
      <c r="P429" s="3457"/>
      <c r="Q429" s="1174" t="s">
        <v>1266</v>
      </c>
      <c r="R429" s="462"/>
    </row>
    <row r="430" spans="1:19" s="44" customFormat="1" ht="10.5" customHeight="1" thickTop="1">
      <c r="B430" s="88" t="s">
        <v>1880</v>
      </c>
      <c r="C430" s="101"/>
      <c r="D430" s="88"/>
      <c r="E430" s="102"/>
      <c r="F430" s="1592"/>
      <c r="G430" s="1592"/>
      <c r="H430" s="1592"/>
      <c r="I430" s="1592"/>
      <c r="J430" s="1592"/>
      <c r="K430" s="1592"/>
      <c r="L430" s="1592"/>
      <c r="M430" s="1592"/>
      <c r="N430" s="77"/>
      <c r="O430" s="73"/>
      <c r="P430" s="1584"/>
      <c r="Q430" s="441"/>
    </row>
    <row r="431" spans="1:19" s="44" customFormat="1" ht="11.25" customHeight="1">
      <c r="A431" s="3159"/>
      <c r="B431" s="3160"/>
      <c r="C431" s="3160"/>
      <c r="D431" s="3160"/>
      <c r="E431" s="3160"/>
      <c r="F431" s="3160"/>
      <c r="G431" s="3160"/>
      <c r="H431" s="3160"/>
      <c r="I431" s="3160"/>
      <c r="J431" s="3160"/>
      <c r="K431" s="3160"/>
      <c r="L431" s="3160"/>
      <c r="M431" s="3160"/>
      <c r="N431" s="3160"/>
      <c r="O431" s="3160"/>
      <c r="P431" s="3161"/>
      <c r="Q431" s="461"/>
    </row>
    <row r="432" spans="1:19" s="44" customFormat="1" ht="3" customHeight="1" thickBot="1">
      <c r="A432" s="43"/>
      <c r="B432" s="43"/>
      <c r="C432" s="1592"/>
      <c r="D432" s="1592"/>
      <c r="E432" s="1592"/>
      <c r="F432" s="1592"/>
      <c r="G432" s="1592"/>
      <c r="H432" s="1592"/>
      <c r="I432" s="1592"/>
      <c r="J432" s="1592"/>
      <c r="K432" s="1592"/>
      <c r="L432" s="1592"/>
      <c r="M432" s="1592"/>
      <c r="N432" s="77"/>
      <c r="O432" s="73"/>
      <c r="P432" s="941"/>
    </row>
    <row r="433" spans="1:18" s="105" customFormat="1" ht="11.25" customHeight="1" thickBot="1">
      <c r="A433" s="159" t="s">
        <v>4152</v>
      </c>
      <c r="B433" s="108" t="s">
        <v>1686</v>
      </c>
      <c r="D433" s="46"/>
      <c r="E433" s="46"/>
      <c r="F433" s="40"/>
      <c r="G433" s="37"/>
      <c r="I433" s="37"/>
      <c r="J433" s="37"/>
      <c r="K433" s="37"/>
      <c r="L433" s="391" t="str">
        <f>IF(OR($O433=$M433,$O433&lt;=0,$O433=""),"","* * Check Score! * *")</f>
        <v/>
      </c>
      <c r="M433" s="1584">
        <v>10</v>
      </c>
      <c r="N433" s="6"/>
      <c r="O433" s="1194">
        <f>MIN($M$433,O435-O436+O437)</f>
        <v>10</v>
      </c>
      <c r="P433" s="1194">
        <f>MIN($M$433,P435-P436+P437)</f>
        <v>10</v>
      </c>
      <c r="Q433" s="112" t="s">
        <v>443</v>
      </c>
    </row>
    <row r="434" spans="1:18" s="105" customFormat="1" ht="1.5" customHeight="1">
      <c r="A434" s="159"/>
      <c r="B434" s="108"/>
      <c r="D434" s="46"/>
      <c r="E434" s="46"/>
      <c r="F434" s="40"/>
      <c r="G434" s="37"/>
      <c r="I434" s="37"/>
      <c r="J434" s="37"/>
      <c r="K434" s="37"/>
      <c r="L434" s="391"/>
      <c r="M434" s="1584"/>
      <c r="N434" s="6"/>
      <c r="O434" s="6"/>
      <c r="P434" s="6"/>
      <c r="Q434" s="112"/>
    </row>
    <row r="435" spans="1:18" s="105" customFormat="1" ht="10.5" customHeight="1">
      <c r="A435" s="159"/>
      <c r="B435" s="89" t="s">
        <v>3684</v>
      </c>
      <c r="D435" s="46"/>
      <c r="E435" s="46"/>
      <c r="F435" s="40"/>
      <c r="G435" s="37"/>
      <c r="I435" s="37"/>
      <c r="J435" s="37"/>
      <c r="K435" s="37"/>
      <c r="L435" s="391"/>
      <c r="M435" s="1584"/>
      <c r="N435" s="6"/>
      <c r="O435" s="1259">
        <v>10</v>
      </c>
      <c r="P435" s="1259">
        <v>10</v>
      </c>
      <c r="Q435" s="112"/>
    </row>
    <row r="436" spans="1:18" s="105" customFormat="1" ht="10.5" customHeight="1">
      <c r="A436" s="159"/>
      <c r="B436" s="89" t="s">
        <v>3685</v>
      </c>
      <c r="D436" s="46"/>
      <c r="E436" s="46"/>
      <c r="F436" s="40"/>
      <c r="G436" s="37"/>
      <c r="I436" s="37"/>
      <c r="J436" s="37"/>
      <c r="K436" s="37"/>
      <c r="L436" s="391"/>
      <c r="M436" s="1584"/>
      <c r="N436" s="6"/>
      <c r="O436" s="2256"/>
      <c r="P436" s="1251"/>
      <c r="Q436" s="112"/>
    </row>
    <row r="437" spans="1:18" s="105" customFormat="1" ht="10.5" customHeight="1">
      <c r="A437" s="159"/>
      <c r="B437" s="89" t="s">
        <v>3686</v>
      </c>
      <c r="D437" s="46"/>
      <c r="E437" s="46"/>
      <c r="F437" s="40"/>
      <c r="G437" s="37"/>
      <c r="I437" s="37"/>
      <c r="J437" s="37"/>
      <c r="K437" s="37"/>
      <c r="L437" s="391"/>
      <c r="M437" s="1584"/>
      <c r="N437" s="6"/>
      <c r="O437" s="2257"/>
      <c r="P437" s="557"/>
      <c r="Q437" s="112"/>
    </row>
    <row r="438" spans="1:18" s="105" customFormat="1" ht="10.5" customHeight="1">
      <c r="A438" s="69"/>
      <c r="B438" s="69" t="s">
        <v>1880</v>
      </c>
      <c r="C438" s="51"/>
      <c r="D438" s="69"/>
      <c r="E438" s="1594"/>
      <c r="F438" s="1594"/>
      <c r="G438" s="1594"/>
      <c r="H438" s="1594"/>
      <c r="I438" s="1594"/>
      <c r="J438" s="1594"/>
      <c r="K438" s="1594"/>
      <c r="L438" s="1594"/>
      <c r="M438" s="1594"/>
      <c r="N438" s="96"/>
      <c r="O438" s="925"/>
      <c r="P438" s="1584"/>
    </row>
    <row r="439" spans="1:18" s="44" customFormat="1" ht="11.25" customHeight="1">
      <c r="A439" s="3159"/>
      <c r="B439" s="3160"/>
      <c r="C439" s="3160"/>
      <c r="D439" s="3160"/>
      <c r="E439" s="3160"/>
      <c r="F439" s="3160"/>
      <c r="G439" s="3160"/>
      <c r="H439" s="3160"/>
      <c r="I439" s="3160"/>
      <c r="J439" s="3160"/>
      <c r="K439" s="3160"/>
      <c r="L439" s="3160"/>
      <c r="M439" s="3160"/>
      <c r="N439" s="3160"/>
      <c r="O439" s="3160"/>
      <c r="P439" s="3161"/>
      <c r="Q439" s="461"/>
      <c r="R439" s="462"/>
    </row>
    <row r="440" spans="1:18" s="44" customFormat="1" ht="9" customHeight="1" thickBot="1">
      <c r="A440" s="159"/>
      <c r="B440" s="43"/>
      <c r="C440" s="1592"/>
      <c r="D440" s="1592"/>
      <c r="E440" s="1592"/>
      <c r="F440" s="1592"/>
      <c r="G440" s="1592"/>
      <c r="H440" s="1592"/>
      <c r="I440" s="1592"/>
      <c r="J440" s="1592"/>
      <c r="K440" s="1592"/>
      <c r="L440" s="1592"/>
      <c r="M440" s="1592"/>
      <c r="N440" s="77"/>
      <c r="O440" s="73"/>
      <c r="P440" s="941"/>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45">
        <f>O8+O43+O57+O67+O94+O111+O153+O189+O270+O286+O294+O316+O337+O346+O362+O396+O414+O433</f>
        <v>62</v>
      </c>
      <c r="P441" s="1245">
        <f>P8+P43+P57+P67+P94+P111+P153+P189+P228+P270+P286+P294+P316+P324+P337+P346+P362+P396+P414+P433</f>
        <v>20</v>
      </c>
    </row>
    <row r="442" spans="1:18" s="43" customFormat="1" ht="11.25" customHeight="1" thickTop="1">
      <c r="A442" s="55"/>
      <c r="B442" s="70"/>
      <c r="C442" s="55"/>
      <c r="D442" s="36"/>
      <c r="E442" s="36"/>
      <c r="F442" s="72"/>
      <c r="G442" s="72"/>
      <c r="H442" s="172" t="s">
        <v>4241</v>
      </c>
      <c r="J442" s="71"/>
      <c r="K442" s="71"/>
      <c r="L442" s="44"/>
      <c r="M442" s="36"/>
      <c r="N442" s="1584"/>
      <c r="O442" s="1584"/>
      <c r="P442" s="482">
        <f>P228</f>
        <v>0</v>
      </c>
    </row>
    <row r="443" spans="1:18" s="43" customFormat="1" ht="11.25" customHeight="1">
      <c r="A443" s="55"/>
      <c r="B443" s="70"/>
      <c r="C443" s="55"/>
      <c r="D443" s="36"/>
      <c r="E443" s="36"/>
      <c r="F443" s="72"/>
      <c r="G443" s="72"/>
      <c r="H443" s="172" t="s">
        <v>4242</v>
      </c>
      <c r="J443" s="71"/>
      <c r="K443" s="71"/>
      <c r="L443" s="44"/>
      <c r="M443" s="36"/>
      <c r="N443" s="1584"/>
      <c r="O443" s="482"/>
      <c r="P443" s="482">
        <f>P324</f>
        <v>0</v>
      </c>
    </row>
    <row r="444" spans="1:18" s="44" customFormat="1" ht="11.25" customHeight="1">
      <c r="A444" s="43"/>
      <c r="D444" s="40"/>
      <c r="E444" s="37"/>
      <c r="F444" s="941"/>
      <c r="H444" s="172" t="s">
        <v>4250</v>
      </c>
      <c r="I444" s="941"/>
      <c r="J444" s="956"/>
      <c r="K444" s="956"/>
      <c r="L444" s="956"/>
      <c r="M444" s="61"/>
      <c r="N444" s="941"/>
      <c r="O444" s="1587"/>
      <c r="P444" s="1259">
        <f>P441-P442-P443</f>
        <v>20</v>
      </c>
    </row>
    <row r="445" spans="1:18" s="164" customFormat="1" ht="4.5" customHeight="1">
      <c r="A445" s="55"/>
      <c r="B445" s="70"/>
      <c r="C445" s="55"/>
      <c r="D445" s="152"/>
      <c r="E445" s="152"/>
      <c r="F445" s="41"/>
      <c r="G445" s="41"/>
      <c r="H445" s="72"/>
      <c r="I445" s="72"/>
      <c r="J445" s="500"/>
      <c r="K445" s="500"/>
      <c r="L445" s="44"/>
      <c r="M445" s="152"/>
      <c r="N445" s="1584"/>
      <c r="O445" s="1584"/>
      <c r="P445" s="3"/>
    </row>
    <row r="446" spans="1:18" s="44" customFormat="1" ht="27.75" customHeight="1">
      <c r="A446" s="3445" t="s">
        <v>3715</v>
      </c>
      <c r="B446" s="3445"/>
      <c r="C446" s="3445"/>
      <c r="D446" s="3445"/>
      <c r="E446" s="3445"/>
      <c r="F446" s="3445"/>
      <c r="G446" s="3445"/>
      <c r="H446" s="3445"/>
      <c r="I446" s="3445"/>
      <c r="J446" s="3445"/>
      <c r="K446" s="3445"/>
      <c r="L446" s="3445"/>
      <c r="M446" s="3445"/>
      <c r="N446" s="3445"/>
      <c r="O446" s="3445"/>
      <c r="P446" s="3445"/>
    </row>
    <row r="447" spans="1:18" s="44" customFormat="1" ht="390.6" customHeight="1">
      <c r="A447" s="3100" t="s">
        <v>4736</v>
      </c>
      <c r="B447" s="3101"/>
      <c r="C447" s="3101"/>
      <c r="D447" s="3101"/>
      <c r="E447" s="3101"/>
      <c r="F447" s="3101"/>
      <c r="G447" s="3101"/>
      <c r="H447" s="3101"/>
      <c r="I447" s="3101"/>
      <c r="J447" s="3101"/>
      <c r="K447" s="3101"/>
      <c r="L447" s="3101"/>
      <c r="M447" s="3101"/>
      <c r="N447" s="3101"/>
      <c r="O447" s="3101"/>
      <c r="P447" s="3102"/>
      <c r="Q447" s="461" t="s">
        <v>1266</v>
      </c>
      <c r="R447" s="462"/>
    </row>
    <row r="448" spans="1:18" s="164" customFormat="1">
      <c r="N448" s="124"/>
      <c r="O448" s="1582"/>
      <c r="P448" s="1582"/>
    </row>
    <row r="449" spans="1:24" s="164" customFormat="1">
      <c r="N449" s="124"/>
      <c r="O449" s="1582"/>
      <c r="P449" s="1582"/>
      <c r="Q449" s="503"/>
      <c r="R449" s="503"/>
      <c r="S449" s="503"/>
    </row>
    <row r="450" spans="1:24" s="164" customFormat="1">
      <c r="N450" s="124"/>
      <c r="O450" s="1582"/>
      <c r="P450" s="1582"/>
      <c r="Q450" s="503"/>
      <c r="R450" s="503"/>
      <c r="S450" s="503"/>
    </row>
    <row r="451" spans="1:24" s="164" customFormat="1">
      <c r="C451" s="464"/>
      <c r="D451" s="464"/>
      <c r="E451" s="464"/>
      <c r="F451" s="464"/>
      <c r="G451" s="464"/>
      <c r="H451" s="464"/>
      <c r="I451" s="464"/>
      <c r="J451" s="464"/>
      <c r="K451" s="464"/>
      <c r="L451" s="464"/>
      <c r="M451" s="464"/>
      <c r="N451" s="473"/>
      <c r="O451" s="475"/>
      <c r="P451" s="475"/>
      <c r="Q451" s="503"/>
      <c r="R451" s="503"/>
      <c r="S451" s="503"/>
    </row>
    <row r="452" spans="1:24" s="503" customFormat="1">
      <c r="A452" s="164"/>
      <c r="B452" s="164"/>
      <c r="C452" s="469" t="s">
        <v>1662</v>
      </c>
      <c r="D452" s="469"/>
      <c r="E452" s="469"/>
      <c r="F452" s="469"/>
      <c r="G452" s="469"/>
      <c r="H452" s="469"/>
      <c r="I452" s="469"/>
      <c r="J452" s="469" t="s">
        <v>1023</v>
      </c>
      <c r="K452" s="469"/>
      <c r="L452" s="469"/>
      <c r="M452" s="469"/>
      <c r="N452" s="470"/>
      <c r="O452" s="1318"/>
      <c r="P452" s="1318"/>
      <c r="Q452" s="1228"/>
      <c r="T452" s="164"/>
      <c r="U452" s="164"/>
      <c r="V452" s="164"/>
      <c r="W452" s="164"/>
      <c r="X452" s="164"/>
    </row>
    <row r="453" spans="1:24" s="503" customFormat="1">
      <c r="A453" s="164"/>
      <c r="B453" s="164"/>
      <c r="C453" s="469" t="s">
        <v>2105</v>
      </c>
      <c r="D453" s="469"/>
      <c r="E453" s="469"/>
      <c r="F453" s="469"/>
      <c r="G453" s="469"/>
      <c r="H453" s="469"/>
      <c r="I453" s="469"/>
      <c r="J453" s="469" t="s">
        <v>1784</v>
      </c>
      <c r="K453" s="469"/>
      <c r="L453" s="469"/>
      <c r="M453" s="469"/>
      <c r="N453" s="470"/>
      <c r="O453" s="1318"/>
      <c r="P453" s="1318"/>
      <c r="Q453" s="1228"/>
      <c r="T453" s="164"/>
      <c r="U453" s="164"/>
      <c r="V453" s="164"/>
      <c r="W453" s="164"/>
      <c r="X453" s="164"/>
    </row>
    <row r="454" spans="1:24" s="503" customFormat="1">
      <c r="A454" s="164"/>
      <c r="B454" s="164"/>
      <c r="C454" s="469" t="s">
        <v>2561</v>
      </c>
      <c r="D454" s="469"/>
      <c r="E454" s="469"/>
      <c r="F454" s="469"/>
      <c r="G454" s="469"/>
      <c r="H454" s="469"/>
      <c r="I454" s="469"/>
      <c r="J454" s="1319" t="s">
        <v>232</v>
      </c>
      <c r="K454" s="469"/>
      <c r="L454" s="469"/>
      <c r="M454" s="469"/>
      <c r="N454" s="470"/>
      <c r="O454" s="1318"/>
      <c r="P454" s="1318"/>
      <c r="Q454" s="1228"/>
      <c r="T454" s="164"/>
      <c r="U454" s="164"/>
      <c r="V454" s="164"/>
      <c r="W454" s="164"/>
      <c r="X454" s="164"/>
    </row>
    <row r="455" spans="1:24" s="503" customFormat="1">
      <c r="A455" s="164"/>
      <c r="B455" s="164"/>
      <c r="C455" s="469" t="s">
        <v>2106</v>
      </c>
      <c r="D455" s="469"/>
      <c r="E455" s="469"/>
      <c r="F455" s="469"/>
      <c r="G455" s="469"/>
      <c r="H455" s="469"/>
      <c r="I455" s="469"/>
      <c r="J455" s="1319" t="s">
        <v>1664</v>
      </c>
      <c r="K455" s="469"/>
      <c r="L455" s="469"/>
      <c r="M455" s="469"/>
      <c r="N455" s="470"/>
      <c r="O455" s="1318"/>
      <c r="P455" s="1318"/>
      <c r="Q455" s="1228"/>
      <c r="T455" s="164"/>
      <c r="U455" s="164"/>
      <c r="V455" s="164"/>
      <c r="W455" s="164"/>
      <c r="X455" s="164"/>
    </row>
    <row r="456" spans="1:24" s="503" customFormat="1">
      <c r="A456" s="164"/>
      <c r="B456" s="164"/>
      <c r="C456" s="469" t="s">
        <v>2107</v>
      </c>
      <c r="D456" s="469"/>
      <c r="E456" s="469"/>
      <c r="F456" s="469"/>
      <c r="G456" s="469"/>
      <c r="H456" s="469"/>
      <c r="I456" s="469"/>
      <c r="J456" s="1319" t="s">
        <v>1665</v>
      </c>
      <c r="K456" s="469"/>
      <c r="L456" s="469"/>
      <c r="M456" s="469"/>
      <c r="N456" s="470"/>
      <c r="O456" s="1318"/>
      <c r="P456" s="1318"/>
      <c r="Q456" s="1228"/>
      <c r="T456" s="164"/>
      <c r="U456" s="164"/>
      <c r="V456" s="164"/>
      <c r="W456" s="164"/>
      <c r="X456" s="164"/>
    </row>
    <row r="457" spans="1:24" s="503" customFormat="1">
      <c r="A457" s="164"/>
      <c r="B457" s="164"/>
      <c r="C457" s="1320" t="s">
        <v>2108</v>
      </c>
      <c r="D457" s="469"/>
      <c r="E457" s="469"/>
      <c r="F457" s="469"/>
      <c r="G457" s="469"/>
      <c r="H457" s="469"/>
      <c r="I457" s="469"/>
      <c r="J457" s="1319" t="s">
        <v>2521</v>
      </c>
      <c r="K457" s="469"/>
      <c r="L457" s="469"/>
      <c r="M457" s="469"/>
      <c r="N457" s="470"/>
      <c r="O457" s="1318"/>
      <c r="P457" s="1318"/>
      <c r="Q457" s="1228"/>
      <c r="T457" s="164"/>
      <c r="U457" s="164"/>
      <c r="V457" s="164"/>
      <c r="W457" s="164"/>
      <c r="X457" s="164"/>
    </row>
    <row r="458" spans="1:24" s="503" customFormat="1">
      <c r="A458" s="164"/>
      <c r="B458" s="164"/>
      <c r="C458" s="1320" t="s">
        <v>2109</v>
      </c>
      <c r="D458" s="469"/>
      <c r="E458" s="469"/>
      <c r="F458" s="469"/>
      <c r="G458" s="469"/>
      <c r="H458" s="469"/>
      <c r="I458" s="469"/>
      <c r="J458" s="1319" t="s">
        <v>1666</v>
      </c>
      <c r="K458" s="469"/>
      <c r="L458" s="469"/>
      <c r="M458" s="469"/>
      <c r="N458" s="470"/>
      <c r="O458" s="1318"/>
      <c r="P458" s="1318"/>
      <c r="Q458" s="1228"/>
      <c r="T458" s="164"/>
      <c r="U458" s="164"/>
      <c r="V458" s="164"/>
      <c r="W458" s="164"/>
      <c r="X458" s="164"/>
    </row>
    <row r="459" spans="1:24" s="503" customFormat="1">
      <c r="A459" s="164"/>
      <c r="B459" s="164"/>
      <c r="C459" s="1320"/>
      <c r="D459" s="469"/>
      <c r="E459" s="469"/>
      <c r="F459" s="469"/>
      <c r="G459" s="469"/>
      <c r="H459" s="469"/>
      <c r="I459" s="469"/>
      <c r="J459" s="1319" t="s">
        <v>1667</v>
      </c>
      <c r="K459" s="469"/>
      <c r="L459" s="469"/>
      <c r="M459" s="469"/>
      <c r="N459" s="470"/>
      <c r="O459" s="1318"/>
      <c r="P459" s="1318"/>
      <c r="Q459" s="1228"/>
      <c r="T459" s="164"/>
      <c r="U459" s="164"/>
      <c r="V459" s="164"/>
      <c r="W459" s="164"/>
      <c r="X459" s="164"/>
    </row>
    <row r="460" spans="1:24" s="503" customFormat="1">
      <c r="A460" s="164"/>
      <c r="B460" s="164"/>
      <c r="C460" s="469" t="s">
        <v>1784</v>
      </c>
      <c r="D460" s="469"/>
      <c r="E460" s="469"/>
      <c r="F460" s="469"/>
      <c r="G460" s="469"/>
      <c r="H460" s="469"/>
      <c r="I460" s="469"/>
      <c r="J460" s="1319" t="s">
        <v>1668</v>
      </c>
      <c r="K460" s="469"/>
      <c r="L460" s="469"/>
      <c r="M460" s="469"/>
      <c r="N460" s="470"/>
      <c r="O460" s="1318"/>
      <c r="P460" s="1318"/>
      <c r="Q460" s="1228"/>
      <c r="T460" s="164"/>
      <c r="U460" s="164"/>
      <c r="V460" s="164"/>
      <c r="W460" s="164"/>
      <c r="X460" s="164"/>
    </row>
    <row r="461" spans="1:24" s="503" customFormat="1">
      <c r="C461" s="1229" t="s">
        <v>1402</v>
      </c>
      <c r="D461" s="469"/>
      <c r="E461" s="469"/>
      <c r="F461" s="469"/>
      <c r="G461" s="469"/>
      <c r="H461" s="469"/>
      <c r="I461" s="469"/>
      <c r="J461" s="1319" t="s">
        <v>1669</v>
      </c>
      <c r="K461" s="469"/>
      <c r="L461" s="469"/>
      <c r="M461" s="469"/>
      <c r="N461" s="470"/>
      <c r="O461" s="1318"/>
      <c r="P461" s="1318"/>
      <c r="Q461" s="1228"/>
      <c r="T461" s="164"/>
      <c r="U461" s="164"/>
      <c r="V461" s="164"/>
      <c r="W461" s="164"/>
      <c r="X461" s="164"/>
    </row>
    <row r="462" spans="1:24" s="503" customFormat="1">
      <c r="C462" s="1229" t="s">
        <v>1403</v>
      </c>
      <c r="D462" s="469"/>
      <c r="E462" s="469"/>
      <c r="F462" s="469"/>
      <c r="G462" s="469"/>
      <c r="H462" s="469"/>
      <c r="I462" s="469"/>
      <c r="J462" s="1319" t="s">
        <v>1670</v>
      </c>
      <c r="K462" s="469"/>
      <c r="L462" s="469"/>
      <c r="M462" s="469"/>
      <c r="N462" s="470"/>
      <c r="O462" s="1318"/>
      <c r="P462" s="1318"/>
      <c r="Q462" s="1228"/>
      <c r="T462" s="164"/>
      <c r="U462" s="164"/>
      <c r="V462" s="164"/>
      <c r="W462" s="164"/>
      <c r="X462" s="164"/>
    </row>
    <row r="463" spans="1:24" s="503" customFormat="1">
      <c r="C463" s="1321" t="s">
        <v>2149</v>
      </c>
      <c r="D463" s="469"/>
      <c r="E463" s="469"/>
      <c r="F463" s="469"/>
      <c r="G463" s="469"/>
      <c r="H463" s="469"/>
      <c r="I463" s="469"/>
      <c r="J463" s="1319" t="s">
        <v>1671</v>
      </c>
      <c r="K463" s="469"/>
      <c r="L463" s="469"/>
      <c r="M463" s="469"/>
      <c r="N463" s="470"/>
      <c r="O463" s="1318"/>
      <c r="P463" s="1318"/>
      <c r="Q463" s="1228"/>
      <c r="T463" s="164"/>
      <c r="U463" s="164"/>
      <c r="V463" s="164"/>
      <c r="W463" s="164"/>
      <c r="X463" s="164"/>
    </row>
    <row r="464" spans="1:24" s="503" customFormat="1">
      <c r="C464" s="1321" t="s">
        <v>1399</v>
      </c>
      <c r="D464" s="469"/>
      <c r="E464" s="469"/>
      <c r="F464" s="469"/>
      <c r="G464" s="469"/>
      <c r="H464" s="469"/>
      <c r="I464" s="469"/>
      <c r="J464" s="1319" t="s">
        <v>597</v>
      </c>
      <c r="K464" s="469"/>
      <c r="L464" s="469"/>
      <c r="M464" s="469"/>
      <c r="N464" s="470"/>
      <c r="O464" s="1318"/>
      <c r="P464" s="1318"/>
      <c r="Q464" s="1228"/>
      <c r="T464" s="164"/>
      <c r="U464" s="164"/>
      <c r="V464" s="164"/>
      <c r="W464" s="164"/>
      <c r="X464" s="164"/>
    </row>
    <row r="465" spans="3:24" s="503" customFormat="1">
      <c r="C465" s="1321" t="s">
        <v>1400</v>
      </c>
      <c r="D465" s="469"/>
      <c r="E465" s="469"/>
      <c r="F465" s="469"/>
      <c r="G465" s="469"/>
      <c r="H465" s="469"/>
      <c r="I465" s="469"/>
      <c r="J465" s="1319" t="s">
        <v>1672</v>
      </c>
      <c r="K465" s="469"/>
      <c r="L465" s="469"/>
      <c r="M465" s="469"/>
      <c r="N465" s="470"/>
      <c r="O465" s="1318"/>
      <c r="P465" s="1318"/>
      <c r="Q465" s="1228"/>
      <c r="T465" s="164"/>
      <c r="U465" s="164"/>
      <c r="V465" s="164"/>
      <c r="W465" s="164"/>
      <c r="X465" s="164"/>
    </row>
    <row r="466" spans="3:24" s="503" customFormat="1">
      <c r="C466" s="1229" t="s">
        <v>2144</v>
      </c>
      <c r="D466" s="469"/>
      <c r="E466" s="469"/>
      <c r="F466" s="469"/>
      <c r="G466" s="469"/>
      <c r="H466" s="469"/>
      <c r="I466" s="469"/>
      <c r="J466" s="1319" t="s">
        <v>1673</v>
      </c>
      <c r="K466" s="469"/>
      <c r="L466" s="469"/>
      <c r="M466" s="469"/>
      <c r="N466" s="470"/>
      <c r="O466" s="1318"/>
      <c r="P466" s="1318"/>
      <c r="Q466" s="1228"/>
      <c r="T466" s="164"/>
      <c r="U466" s="164"/>
      <c r="V466" s="164"/>
      <c r="W466" s="164"/>
      <c r="X466" s="164"/>
    </row>
    <row r="467" spans="3:24" s="503" customFormat="1">
      <c r="C467" s="1229" t="s">
        <v>2145</v>
      </c>
      <c r="D467" s="469"/>
      <c r="E467" s="469"/>
      <c r="F467" s="469"/>
      <c r="G467" s="469"/>
      <c r="H467" s="469"/>
      <c r="I467" s="469"/>
      <c r="J467" s="1319" t="s">
        <v>1674</v>
      </c>
      <c r="K467" s="469"/>
      <c r="L467" s="469"/>
      <c r="M467" s="469"/>
      <c r="N467" s="470"/>
      <c r="O467" s="1318"/>
      <c r="P467" s="1318"/>
      <c r="Q467" s="1228"/>
      <c r="T467" s="164"/>
      <c r="U467" s="164"/>
      <c r="V467" s="164"/>
      <c r="W467" s="164"/>
      <c r="X467" s="164"/>
    </row>
    <row r="468" spans="3:24" s="503" customFormat="1">
      <c r="C468" s="1229" t="s">
        <v>2146</v>
      </c>
      <c r="D468" s="469"/>
      <c r="E468" s="469"/>
      <c r="F468" s="469"/>
      <c r="G468" s="469"/>
      <c r="H468" s="469"/>
      <c r="I468" s="469"/>
      <c r="J468" s="1319" t="s">
        <v>36</v>
      </c>
      <c r="K468" s="469"/>
      <c r="L468" s="469"/>
      <c r="M468" s="469"/>
      <c r="N468" s="470"/>
      <c r="O468" s="1318"/>
      <c r="P468" s="1318"/>
      <c r="Q468" s="1228"/>
      <c r="T468" s="164"/>
      <c r="U468" s="164"/>
      <c r="V468" s="164"/>
      <c r="W468" s="164"/>
      <c r="X468" s="164"/>
    </row>
    <row r="469" spans="3:24" s="503" customFormat="1">
      <c r="C469" s="1229" t="s">
        <v>2147</v>
      </c>
      <c r="D469" s="469"/>
      <c r="E469" s="469"/>
      <c r="F469" s="469"/>
      <c r="G469" s="469"/>
      <c r="H469" s="469"/>
      <c r="I469" s="469"/>
      <c r="J469" s="469"/>
      <c r="K469" s="469"/>
      <c r="L469" s="469"/>
      <c r="M469" s="469"/>
      <c r="N469" s="470"/>
      <c r="O469" s="1318"/>
      <c r="P469" s="1318"/>
      <c r="Q469" s="1228"/>
      <c r="T469" s="164"/>
      <c r="U469" s="164"/>
      <c r="V469" s="164"/>
      <c r="W469" s="164"/>
      <c r="X469" s="164"/>
    </row>
    <row r="470" spans="3:24" s="503" customFormat="1">
      <c r="C470" s="1229" t="s">
        <v>2148</v>
      </c>
      <c r="D470" s="469"/>
      <c r="E470" s="469"/>
      <c r="F470" s="469"/>
      <c r="G470" s="469"/>
      <c r="H470" s="469"/>
      <c r="I470" s="469"/>
      <c r="J470" s="1322" t="s">
        <v>3436</v>
      </c>
      <c r="K470" s="469"/>
      <c r="L470" s="469"/>
      <c r="M470" s="469"/>
      <c r="N470" s="470"/>
      <c r="O470" s="1322" t="s">
        <v>3794</v>
      </c>
      <c r="P470" s="1318"/>
      <c r="Q470" s="1228"/>
      <c r="T470" s="164"/>
      <c r="U470" s="164"/>
      <c r="V470" s="164"/>
      <c r="W470" s="164"/>
      <c r="X470" s="164"/>
    </row>
    <row r="471" spans="3:24" s="503" customFormat="1">
      <c r="C471" s="1229" t="s">
        <v>1401</v>
      </c>
      <c r="D471" s="469"/>
      <c r="E471" s="469"/>
      <c r="F471" s="469"/>
      <c r="G471" s="469"/>
      <c r="H471" s="469"/>
      <c r="I471" s="469"/>
      <c r="J471" s="1319" t="s">
        <v>3437</v>
      </c>
      <c r="K471" s="469"/>
      <c r="L471" s="469"/>
      <c r="M471" s="469"/>
      <c r="N471" s="470"/>
      <c r="O471" s="1318"/>
      <c r="P471" s="1318"/>
      <c r="Q471" s="1228"/>
      <c r="T471" s="164"/>
      <c r="U471" s="164"/>
      <c r="V471" s="164"/>
      <c r="W471" s="164"/>
      <c r="X471" s="164"/>
    </row>
    <row r="472" spans="3:24" s="503" customFormat="1">
      <c r="C472" s="1229" t="s">
        <v>2298</v>
      </c>
      <c r="D472" s="469"/>
      <c r="E472" s="469"/>
      <c r="F472" s="469"/>
      <c r="G472" s="469"/>
      <c r="H472" s="469"/>
      <c r="I472" s="469"/>
      <c r="J472" s="469" t="s">
        <v>3421</v>
      </c>
      <c r="K472" s="469"/>
      <c r="L472" s="469"/>
      <c r="M472" s="469"/>
      <c r="N472" s="470"/>
      <c r="O472" s="1318">
        <v>2</v>
      </c>
      <c r="P472" s="1318"/>
      <c r="Q472" s="536"/>
      <c r="R472" s="164"/>
      <c r="S472" s="164"/>
      <c r="T472" s="164"/>
      <c r="U472" s="164"/>
      <c r="V472" s="164"/>
      <c r="W472" s="164"/>
      <c r="X472" s="164"/>
    </row>
    <row r="473" spans="3:24" s="503" customFormat="1">
      <c r="C473" s="469"/>
      <c r="D473" s="469"/>
      <c r="E473" s="469"/>
      <c r="F473" s="469"/>
      <c r="G473" s="469"/>
      <c r="H473" s="469"/>
      <c r="I473" s="469"/>
      <c r="J473" s="469" t="s">
        <v>3422</v>
      </c>
      <c r="K473" s="469"/>
      <c r="L473" s="469"/>
      <c r="M473" s="469"/>
      <c r="N473" s="470"/>
      <c r="O473" s="1318">
        <v>2</v>
      </c>
      <c r="P473" s="1318"/>
      <c r="Q473" s="536"/>
      <c r="R473" s="164"/>
      <c r="S473" s="164"/>
      <c r="T473" s="164"/>
      <c r="U473" s="164"/>
      <c r="V473" s="164"/>
      <c r="W473" s="164"/>
      <c r="X473" s="164"/>
    </row>
    <row r="474" spans="3:24" s="503" customFormat="1">
      <c r="C474" s="469"/>
      <c r="D474" s="469"/>
      <c r="E474" s="469"/>
      <c r="F474" s="469"/>
      <c r="G474" s="469"/>
      <c r="H474" s="469"/>
      <c r="I474" s="469"/>
      <c r="J474" s="469" t="s">
        <v>3423</v>
      </c>
      <c r="K474" s="469"/>
      <c r="L474" s="469"/>
      <c r="M474" s="469"/>
      <c r="N474" s="470"/>
      <c r="O474" s="1318">
        <v>2</v>
      </c>
      <c r="P474" s="1318"/>
      <c r="Q474" s="536"/>
      <c r="R474" s="164"/>
      <c r="S474" s="164"/>
      <c r="T474" s="164"/>
      <c r="U474" s="164"/>
      <c r="V474" s="164"/>
      <c r="W474" s="164"/>
      <c r="X474" s="164"/>
    </row>
    <row r="475" spans="3:24" s="503" customFormat="1">
      <c r="C475" s="469" t="s">
        <v>2804</v>
      </c>
      <c r="D475" s="469"/>
      <c r="E475" s="469"/>
      <c r="F475" s="469"/>
      <c r="G475" s="1323" t="s">
        <v>1515</v>
      </c>
      <c r="H475" s="1324"/>
      <c r="I475" s="1323"/>
      <c r="J475" s="469" t="s">
        <v>3424</v>
      </c>
      <c r="K475" s="469"/>
      <c r="L475" s="1323"/>
      <c r="M475" s="469"/>
      <c r="N475" s="470"/>
      <c r="O475" s="1318">
        <v>2</v>
      </c>
      <c r="P475" s="1318"/>
      <c r="Q475" s="536"/>
      <c r="R475" s="164"/>
      <c r="S475" s="164"/>
      <c r="T475" s="164"/>
      <c r="U475" s="164"/>
      <c r="V475" s="164"/>
      <c r="W475" s="164"/>
      <c r="X475" s="164"/>
    </row>
    <row r="476" spans="3:24" s="503" customFormat="1">
      <c r="C476" s="1325" t="s">
        <v>2806</v>
      </c>
      <c r="D476" s="469"/>
      <c r="E476" s="469"/>
      <c r="F476" s="469"/>
      <c r="G476" s="1326" t="s">
        <v>2539</v>
      </c>
      <c r="H476" s="1324"/>
      <c r="I476" s="1326"/>
      <c r="J476" s="469" t="s">
        <v>3792</v>
      </c>
      <c r="K476" s="469"/>
      <c r="L476" s="1326"/>
      <c r="M476" s="469"/>
      <c r="N476" s="470"/>
      <c r="O476" s="1318">
        <v>2</v>
      </c>
      <c r="P476" s="1318"/>
      <c r="Q476" s="536"/>
      <c r="R476" s="164"/>
      <c r="S476" s="164"/>
      <c r="T476" s="164"/>
      <c r="U476" s="164"/>
      <c r="V476" s="164"/>
      <c r="W476" s="164"/>
      <c r="X476" s="164"/>
    </row>
    <row r="477" spans="3:24" s="503" customFormat="1">
      <c r="C477" s="1325" t="s">
        <v>2807</v>
      </c>
      <c r="D477" s="469"/>
      <c r="E477" s="469"/>
      <c r="F477" s="469"/>
      <c r="G477" s="1326" t="s">
        <v>1795</v>
      </c>
      <c r="H477" s="1324"/>
      <c r="I477" s="1327"/>
      <c r="J477" s="1324" t="s">
        <v>3425</v>
      </c>
      <c r="K477" s="469"/>
      <c r="L477" s="1327"/>
      <c r="M477" s="469"/>
      <c r="N477" s="470"/>
      <c r="O477" s="1318">
        <v>1</v>
      </c>
      <c r="P477" s="1318"/>
      <c r="Q477" s="536"/>
      <c r="R477" s="164"/>
      <c r="S477" s="164"/>
      <c r="T477" s="164"/>
      <c r="U477" s="164"/>
      <c r="V477" s="164"/>
      <c r="W477" s="164"/>
      <c r="X477" s="164"/>
    </row>
    <row r="478" spans="3:24" s="503" customFormat="1">
      <c r="C478" s="1325" t="s">
        <v>2808</v>
      </c>
      <c r="D478" s="469"/>
      <c r="E478" s="469"/>
      <c r="F478" s="469"/>
      <c r="G478" s="1326" t="s">
        <v>1649</v>
      </c>
      <c r="H478" s="1324"/>
      <c r="I478" s="1327"/>
      <c r="J478" s="1324" t="s">
        <v>3426</v>
      </c>
      <c r="K478" s="469"/>
      <c r="L478" s="1327"/>
      <c r="M478" s="469"/>
      <c r="N478" s="470"/>
      <c r="O478" s="1318">
        <v>1</v>
      </c>
      <c r="P478" s="1318"/>
      <c r="Q478" s="536"/>
      <c r="R478" s="164"/>
      <c r="S478" s="164"/>
      <c r="T478" s="164"/>
      <c r="U478" s="164"/>
      <c r="V478" s="164"/>
      <c r="W478" s="164"/>
      <c r="X478" s="164"/>
    </row>
    <row r="479" spans="3:24" s="503" customFormat="1">
      <c r="C479" s="1325" t="s">
        <v>2809</v>
      </c>
      <c r="D479" s="469"/>
      <c r="E479" s="469"/>
      <c r="F479" s="469"/>
      <c r="G479" s="1326" t="s">
        <v>3644</v>
      </c>
      <c r="H479" s="1324"/>
      <c r="I479" s="1327"/>
      <c r="J479" s="1324" t="s">
        <v>3427</v>
      </c>
      <c r="K479" s="469"/>
      <c r="L479" s="1327"/>
      <c r="M479" s="469"/>
      <c r="N479" s="470"/>
      <c r="O479" s="1318">
        <v>1</v>
      </c>
      <c r="P479" s="1318"/>
      <c r="Q479" s="536"/>
      <c r="R479" s="164"/>
      <c r="S479" s="164"/>
      <c r="T479" s="164"/>
      <c r="U479" s="164"/>
      <c r="V479" s="164"/>
      <c r="W479" s="164"/>
      <c r="X479" s="164"/>
    </row>
    <row r="480" spans="3:24" s="503" customFormat="1">
      <c r="C480" s="1325" t="s">
        <v>2810</v>
      </c>
      <c r="D480" s="469"/>
      <c r="E480" s="469"/>
      <c r="F480" s="469"/>
      <c r="G480" s="1326" t="s">
        <v>2087</v>
      </c>
      <c r="H480" s="1324"/>
      <c r="I480" s="1327"/>
      <c r="J480" s="1324" t="s">
        <v>3793</v>
      </c>
      <c r="K480" s="469"/>
      <c r="L480" s="1327"/>
      <c r="M480" s="469"/>
      <c r="N480" s="470"/>
      <c r="O480" s="1318">
        <v>1</v>
      </c>
      <c r="P480" s="1318"/>
      <c r="Q480" s="536"/>
      <c r="R480" s="164"/>
      <c r="S480" s="164"/>
      <c r="T480" s="164"/>
      <c r="U480" s="164"/>
      <c r="V480" s="164"/>
      <c r="W480" s="164"/>
      <c r="X480" s="164"/>
    </row>
    <row r="481" spans="1:24" s="503" customFormat="1">
      <c r="C481" s="1325" t="s">
        <v>2811</v>
      </c>
      <c r="D481" s="469"/>
      <c r="E481" s="469"/>
      <c r="F481" s="469"/>
      <c r="G481" s="1326" t="s">
        <v>3835</v>
      </c>
      <c r="H481" s="1324"/>
      <c r="I481" s="1327"/>
      <c r="J481" s="1324" t="s">
        <v>3435</v>
      </c>
      <c r="K481" s="469"/>
      <c r="L481" s="1327"/>
      <c r="M481" s="469"/>
      <c r="N481" s="470"/>
      <c r="O481" s="1318">
        <v>1</v>
      </c>
      <c r="P481" s="1318"/>
      <c r="Q481" s="536"/>
      <c r="R481" s="164"/>
      <c r="S481" s="164"/>
      <c r="T481" s="164"/>
      <c r="U481" s="164"/>
      <c r="V481" s="164"/>
      <c r="W481" s="164"/>
      <c r="X481" s="164"/>
    </row>
    <row r="482" spans="1:24" s="503" customFormat="1">
      <c r="C482" s="1325"/>
      <c r="D482" s="469"/>
      <c r="E482" s="469"/>
      <c r="F482" s="469"/>
      <c r="G482" s="1326" t="s">
        <v>11</v>
      </c>
      <c r="H482" s="1324"/>
      <c r="I482" s="1327"/>
      <c r="J482" s="1324" t="s">
        <v>3428</v>
      </c>
      <c r="K482" s="469"/>
      <c r="L482" s="1327"/>
      <c r="M482" s="469"/>
      <c r="N482" s="470"/>
      <c r="O482" s="1318">
        <v>1</v>
      </c>
      <c r="P482" s="1318"/>
      <c r="Q482" s="536"/>
      <c r="R482" s="164"/>
      <c r="S482" s="164"/>
      <c r="T482" s="164"/>
      <c r="U482" s="164"/>
      <c r="V482" s="164"/>
      <c r="W482" s="164"/>
      <c r="X482" s="164"/>
    </row>
    <row r="483" spans="1:24" s="503" customFormat="1">
      <c r="C483" s="1325"/>
      <c r="D483" s="469"/>
      <c r="E483" s="469"/>
      <c r="F483" s="469"/>
      <c r="G483" s="1326" t="s">
        <v>358</v>
      </c>
      <c r="H483" s="1324"/>
      <c r="I483" s="1327"/>
      <c r="J483" s="1324" t="s">
        <v>3429</v>
      </c>
      <c r="K483" s="469"/>
      <c r="L483" s="1327"/>
      <c r="M483" s="469"/>
      <c r="N483" s="470"/>
      <c r="O483" s="1318">
        <v>1</v>
      </c>
      <c r="P483" s="1318"/>
      <c r="Q483" s="536"/>
      <c r="R483" s="164"/>
      <c r="S483" s="164"/>
      <c r="T483" s="164"/>
      <c r="U483" s="164"/>
      <c r="V483" s="164"/>
      <c r="W483" s="164"/>
      <c r="X483" s="164"/>
    </row>
    <row r="484" spans="1:24" s="503" customFormat="1">
      <c r="C484" s="1325"/>
      <c r="D484" s="469"/>
      <c r="E484" s="469"/>
      <c r="F484" s="469"/>
      <c r="G484" s="1326" t="s">
        <v>1344</v>
      </c>
      <c r="H484" s="1324"/>
      <c r="I484" s="1327"/>
      <c r="J484" s="1324" t="s">
        <v>3430</v>
      </c>
      <c r="K484" s="469"/>
      <c r="L484" s="1327"/>
      <c r="M484" s="469"/>
      <c r="N484" s="470"/>
      <c r="O484" s="1318">
        <v>1</v>
      </c>
      <c r="P484" s="1318"/>
      <c r="Q484" s="536"/>
      <c r="R484" s="164"/>
      <c r="S484" s="164"/>
      <c r="T484" s="164"/>
      <c r="U484" s="164"/>
      <c r="V484" s="164"/>
      <c r="W484" s="164"/>
      <c r="X484" s="164"/>
    </row>
    <row r="485" spans="1:24" s="503" customFormat="1">
      <c r="C485" s="469"/>
      <c r="D485" s="469"/>
      <c r="E485" s="469"/>
      <c r="F485" s="469"/>
      <c r="G485" s="1326" t="s">
        <v>1516</v>
      </c>
      <c r="H485" s="1324"/>
      <c r="I485" s="1327"/>
      <c r="J485" s="1324" t="s">
        <v>3431</v>
      </c>
      <c r="K485" s="469"/>
      <c r="L485" s="1327"/>
      <c r="M485" s="469"/>
      <c r="N485" s="470"/>
      <c r="O485" s="1318">
        <v>1</v>
      </c>
      <c r="P485" s="1318"/>
      <c r="Q485" s="536"/>
      <c r="R485" s="164"/>
      <c r="S485" s="164"/>
      <c r="T485" s="164"/>
      <c r="U485" s="164"/>
      <c r="V485" s="164"/>
      <c r="W485" s="164"/>
      <c r="X485" s="164"/>
    </row>
    <row r="486" spans="1:24" s="503" customFormat="1">
      <c r="C486" s="469"/>
      <c r="D486" s="469"/>
      <c r="E486" s="469"/>
      <c r="F486" s="469"/>
      <c r="G486" s="1326" t="s">
        <v>1032</v>
      </c>
      <c r="H486" s="1324"/>
      <c r="I486" s="1327"/>
      <c r="J486" s="1324" t="s">
        <v>3434</v>
      </c>
      <c r="K486" s="469"/>
      <c r="L486" s="1327"/>
      <c r="M486" s="469"/>
      <c r="N486" s="470"/>
      <c r="O486" s="1318">
        <v>1</v>
      </c>
      <c r="P486" s="1318"/>
      <c r="Q486" s="536"/>
      <c r="R486" s="164"/>
      <c r="S486" s="164"/>
      <c r="T486" s="164"/>
      <c r="U486" s="164"/>
      <c r="V486" s="164"/>
      <c r="W486" s="164"/>
      <c r="X486" s="164"/>
    </row>
    <row r="487" spans="1:24" s="503" customFormat="1">
      <c r="A487" s="1145" t="s">
        <v>2813</v>
      </c>
      <c r="C487" s="469"/>
      <c r="D487" s="469"/>
      <c r="E487" s="469"/>
      <c r="F487" s="469"/>
      <c r="G487" s="1326" t="s">
        <v>1771</v>
      </c>
      <c r="H487" s="1324"/>
      <c r="I487" s="1327"/>
      <c r="J487" s="1324" t="s">
        <v>3432</v>
      </c>
      <c r="K487" s="469"/>
      <c r="L487" s="1327"/>
      <c r="M487" s="469"/>
      <c r="N487" s="470"/>
      <c r="O487" s="1318">
        <v>1</v>
      </c>
      <c r="P487" s="1318"/>
      <c r="Q487" s="536"/>
      <c r="R487" s="164"/>
      <c r="S487" s="164"/>
      <c r="T487" s="164"/>
      <c r="U487" s="164"/>
      <c r="V487" s="164"/>
      <c r="W487" s="164"/>
      <c r="X487" s="164"/>
    </row>
    <row r="488" spans="1:24" s="503" customFormat="1">
      <c r="A488" s="1145" t="s">
        <v>2841</v>
      </c>
      <c r="C488" s="469"/>
      <c r="D488" s="469"/>
      <c r="E488" s="469"/>
      <c r="F488" s="469"/>
      <c r="G488" s="1326" t="s">
        <v>88</v>
      </c>
      <c r="H488" s="1324"/>
      <c r="I488" s="1327"/>
      <c r="J488" s="1324" t="s">
        <v>3433</v>
      </c>
      <c r="K488" s="469"/>
      <c r="L488" s="1327"/>
      <c r="M488" s="469"/>
      <c r="N488" s="470"/>
      <c r="O488" s="1318">
        <v>1</v>
      </c>
      <c r="P488" s="1318"/>
      <c r="Q488" s="536"/>
      <c r="R488" s="164"/>
      <c r="S488" s="164"/>
      <c r="T488" s="164"/>
      <c r="U488" s="164"/>
      <c r="V488" s="164"/>
      <c r="W488" s="164"/>
      <c r="X488" s="164"/>
    </row>
    <row r="489" spans="1:24" s="503" customFormat="1">
      <c r="A489" s="1157" t="s">
        <v>3397</v>
      </c>
      <c r="C489" s="469"/>
      <c r="D489" s="1325"/>
      <c r="E489" s="1325">
        <v>3</v>
      </c>
      <c r="F489" s="469"/>
      <c r="G489" s="1326" t="s">
        <v>2505</v>
      </c>
      <c r="H489" s="1324"/>
      <c r="I489" s="1327"/>
      <c r="J489" s="469"/>
      <c r="K489" s="469"/>
      <c r="L489" s="1327"/>
      <c r="M489" s="469"/>
      <c r="N489" s="470"/>
      <c r="O489" s="1318"/>
      <c r="P489" s="1318"/>
      <c r="Q489" s="536"/>
      <c r="R489" s="164"/>
      <c r="S489" s="164"/>
      <c r="T489" s="164"/>
      <c r="U489" s="164"/>
      <c r="V489" s="164"/>
      <c r="W489" s="164"/>
      <c r="X489" s="164"/>
    </row>
    <row r="490" spans="1:24" s="503" customFormat="1">
      <c r="A490" s="1157" t="s">
        <v>3398</v>
      </c>
      <c r="C490" s="469"/>
      <c r="D490" s="1325"/>
      <c r="E490" s="1325">
        <v>2</v>
      </c>
      <c r="F490" s="469"/>
      <c r="G490" s="1326" t="s">
        <v>904</v>
      </c>
      <c r="H490" s="1324"/>
      <c r="I490" s="1327"/>
      <c r="J490" s="469"/>
      <c r="K490" s="469"/>
      <c r="L490" s="1327"/>
      <c r="M490" s="469"/>
      <c r="N490" s="470"/>
      <c r="O490" s="1318"/>
      <c r="P490" s="1318"/>
      <c r="Q490" s="536"/>
      <c r="R490" s="164"/>
      <c r="S490" s="164"/>
      <c r="T490" s="164"/>
      <c r="U490" s="164"/>
      <c r="V490" s="164"/>
      <c r="W490" s="164"/>
      <c r="X490" s="164"/>
    </row>
    <row r="491" spans="1:24" s="503" customFormat="1">
      <c r="A491" s="1157" t="s">
        <v>3399</v>
      </c>
      <c r="C491" s="469"/>
      <c r="D491" s="1325"/>
      <c r="E491" s="1325">
        <v>10</v>
      </c>
      <c r="F491" s="469"/>
      <c r="G491" s="1326" t="s">
        <v>2074</v>
      </c>
      <c r="H491" s="1324"/>
      <c r="I491" s="1327"/>
      <c r="J491" s="1328" t="s">
        <v>3803</v>
      </c>
      <c r="K491" s="469"/>
      <c r="L491" s="1327"/>
      <c r="M491" s="469"/>
      <c r="N491" s="470"/>
      <c r="O491" s="1318"/>
      <c r="P491" s="1318"/>
      <c r="Q491" s="536"/>
      <c r="R491" s="164"/>
      <c r="S491" s="164"/>
      <c r="T491" s="164"/>
      <c r="U491" s="164"/>
      <c r="V491" s="164"/>
      <c r="W491" s="164"/>
      <c r="X491" s="164"/>
    </row>
    <row r="492" spans="1:24" s="503" customFormat="1">
      <c r="A492" s="1157" t="s">
        <v>2842</v>
      </c>
      <c r="C492" s="469"/>
      <c r="D492" s="1325"/>
      <c r="E492" s="1325"/>
      <c r="F492" s="469"/>
      <c r="G492" s="1326" t="s">
        <v>607</v>
      </c>
      <c r="H492" s="1324"/>
      <c r="I492" s="1327"/>
      <c r="J492" s="1324" t="s">
        <v>4017</v>
      </c>
      <c r="K492" s="469"/>
      <c r="L492" s="1327"/>
      <c r="M492" s="469"/>
      <c r="N492" s="470"/>
      <c r="O492" s="1318"/>
      <c r="P492" s="1318"/>
      <c r="Q492" s="536"/>
      <c r="R492" s="164"/>
      <c r="S492" s="164"/>
      <c r="T492" s="164"/>
      <c r="U492" s="164"/>
      <c r="V492" s="164"/>
      <c r="W492" s="164"/>
      <c r="X492" s="164"/>
    </row>
    <row r="493" spans="1:24" s="503" customFormat="1">
      <c r="C493" s="1325"/>
      <c r="D493" s="469"/>
      <c r="E493" s="469"/>
      <c r="F493" s="469"/>
      <c r="G493" s="1326" t="s">
        <v>337</v>
      </c>
      <c r="H493" s="1324"/>
      <c r="I493" s="1327"/>
      <c r="J493" s="1324" t="s">
        <v>4012</v>
      </c>
      <c r="K493" s="469"/>
      <c r="L493" s="1327"/>
      <c r="M493" s="469"/>
      <c r="N493" s="470"/>
      <c r="O493" s="1318"/>
      <c r="P493" s="1318"/>
      <c r="Q493" s="536"/>
      <c r="R493" s="164"/>
      <c r="S493" s="164"/>
      <c r="T493" s="164"/>
      <c r="U493" s="164"/>
      <c r="V493" s="164"/>
      <c r="W493" s="164"/>
      <c r="X493" s="164"/>
    </row>
    <row r="494" spans="1:24" s="503" customFormat="1">
      <c r="C494" s="1325"/>
      <c r="D494" s="469"/>
      <c r="E494" s="469"/>
      <c r="F494" s="469"/>
      <c r="G494" s="1326" t="s">
        <v>882</v>
      </c>
      <c r="H494" s="1324"/>
      <c r="I494" s="1327"/>
      <c r="J494" s="1324" t="s">
        <v>3796</v>
      </c>
      <c r="K494" s="1324"/>
      <c r="L494" s="1327"/>
      <c r="M494" s="469"/>
      <c r="N494" s="470"/>
      <c r="O494" s="1318"/>
      <c r="P494" s="1318"/>
      <c r="Q494" s="536"/>
      <c r="R494" s="164"/>
      <c r="S494" s="164"/>
      <c r="T494" s="164"/>
      <c r="U494" s="164"/>
      <c r="V494" s="164"/>
      <c r="W494" s="164"/>
      <c r="X494" s="164"/>
    </row>
    <row r="495" spans="1:24" s="503" customFormat="1">
      <c r="C495" s="1325"/>
      <c r="D495" s="469"/>
      <c r="E495" s="469"/>
      <c r="F495" s="469"/>
      <c r="G495" s="1326" t="s">
        <v>1939</v>
      </c>
      <c r="H495" s="1327"/>
      <c r="I495" s="1324"/>
      <c r="J495" s="1324" t="s">
        <v>4005</v>
      </c>
      <c r="K495" s="469"/>
      <c r="L495" s="1327"/>
      <c r="M495" s="469"/>
      <c r="N495" s="470"/>
      <c r="O495" s="1318"/>
      <c r="P495" s="1318"/>
      <c r="Q495" s="536"/>
      <c r="R495" s="164"/>
      <c r="S495" s="164"/>
      <c r="T495" s="164"/>
      <c r="U495" s="164"/>
      <c r="V495" s="164"/>
      <c r="W495" s="164"/>
      <c r="X495" s="164"/>
    </row>
    <row r="496" spans="1:24" s="503" customFormat="1">
      <c r="C496" s="1325"/>
      <c r="D496" s="469"/>
      <c r="E496" s="469"/>
      <c r="F496" s="469"/>
      <c r="G496" s="1326" t="s">
        <v>1943</v>
      </c>
      <c r="H496" s="1327"/>
      <c r="I496" s="1324"/>
      <c r="J496" s="1324" t="s">
        <v>3797</v>
      </c>
      <c r="K496" s="1324"/>
      <c r="L496" s="1327"/>
      <c r="M496" s="469"/>
      <c r="N496" s="470"/>
      <c r="O496" s="1318"/>
      <c r="P496" s="1318"/>
      <c r="Q496" s="536"/>
      <c r="R496" s="164"/>
      <c r="S496" s="164"/>
      <c r="T496" s="164"/>
      <c r="U496" s="164"/>
      <c r="V496" s="164"/>
      <c r="W496" s="164"/>
      <c r="X496" s="164"/>
    </row>
    <row r="497" spans="1:24" s="503" customFormat="1">
      <c r="C497" s="469"/>
      <c r="D497" s="469"/>
      <c r="E497" s="469"/>
      <c r="F497" s="469"/>
      <c r="G497" s="1326" t="s">
        <v>459</v>
      </c>
      <c r="H497" s="1327"/>
      <c r="I497" s="1324"/>
      <c r="J497" s="1324" t="s">
        <v>4006</v>
      </c>
      <c r="K497" s="469"/>
      <c r="L497" s="1327"/>
      <c r="M497" s="469"/>
      <c r="N497" s="470"/>
      <c r="O497" s="1318"/>
      <c r="P497" s="1318"/>
      <c r="Q497" s="536"/>
      <c r="R497" s="164"/>
      <c r="S497" s="164"/>
      <c r="T497" s="164"/>
      <c r="U497" s="164"/>
      <c r="V497" s="164"/>
      <c r="W497" s="164"/>
      <c r="X497" s="164"/>
    </row>
    <row r="498" spans="1:24" s="503" customFormat="1">
      <c r="C498" s="469"/>
      <c r="D498" s="469"/>
      <c r="E498" s="469"/>
      <c r="F498" s="469"/>
      <c r="G498" s="1326" t="s">
        <v>3645</v>
      </c>
      <c r="H498" s="1327"/>
      <c r="I498" s="1324"/>
      <c r="J498" s="1324" t="s">
        <v>3798</v>
      </c>
      <c r="K498" s="469"/>
      <c r="L498" s="1324"/>
      <c r="M498" s="469"/>
      <c r="N498" s="470"/>
      <c r="O498" s="1318"/>
      <c r="P498" s="1318"/>
      <c r="Q498" s="536"/>
      <c r="R498" s="164"/>
      <c r="S498" s="164"/>
      <c r="T498" s="164"/>
      <c r="U498" s="164"/>
      <c r="V498" s="164"/>
      <c r="W498" s="164"/>
      <c r="X498" s="164"/>
    </row>
    <row r="499" spans="1:24" s="503" customFormat="1">
      <c r="C499" s="469"/>
      <c r="D499" s="469"/>
      <c r="E499" s="469"/>
      <c r="F499" s="469"/>
      <c r="G499" s="1326" t="s">
        <v>422</v>
      </c>
      <c r="H499" s="1327"/>
      <c r="I499" s="1324"/>
      <c r="J499" s="1324" t="s">
        <v>4008</v>
      </c>
      <c r="K499" s="469"/>
      <c r="L499" s="1327"/>
      <c r="M499" s="469"/>
      <c r="N499" s="470"/>
      <c r="O499" s="1318"/>
      <c r="P499" s="1318"/>
      <c r="Q499" s="536"/>
      <c r="R499" s="164"/>
      <c r="S499" s="164"/>
      <c r="T499" s="164"/>
      <c r="U499" s="164"/>
      <c r="V499" s="164"/>
      <c r="W499" s="164"/>
      <c r="X499" s="164"/>
    </row>
    <row r="500" spans="1:24" s="503" customFormat="1">
      <c r="C500" s="469"/>
      <c r="D500" s="469"/>
      <c r="E500" s="469"/>
      <c r="F500" s="469"/>
      <c r="G500" s="1326" t="s">
        <v>236</v>
      </c>
      <c r="H500" s="1327"/>
      <c r="I500" s="1324"/>
      <c r="J500" s="1324" t="s">
        <v>4013</v>
      </c>
      <c r="K500" s="469"/>
      <c r="L500" s="1327"/>
      <c r="M500" s="469"/>
      <c r="N500" s="470"/>
      <c r="O500" s="1318"/>
      <c r="P500" s="1318"/>
      <c r="Q500" s="536"/>
      <c r="R500" s="164"/>
      <c r="S500" s="164"/>
      <c r="T500" s="164"/>
      <c r="U500" s="164"/>
      <c r="V500" s="164"/>
      <c r="W500" s="164"/>
      <c r="X500" s="164"/>
    </row>
    <row r="501" spans="1:24" s="503" customFormat="1">
      <c r="C501" s="469"/>
      <c r="D501" s="469"/>
      <c r="E501" s="469"/>
      <c r="F501" s="469"/>
      <c r="G501" s="1326" t="s">
        <v>1233</v>
      </c>
      <c r="H501" s="1327"/>
      <c r="I501" s="1324"/>
      <c r="J501" s="1324" t="s">
        <v>4016</v>
      </c>
      <c r="K501" s="1324"/>
      <c r="L501" s="1324"/>
      <c r="M501" s="469"/>
      <c r="N501" s="470"/>
      <c r="O501" s="1318"/>
      <c r="P501" s="1318"/>
      <c r="Q501" s="536"/>
      <c r="R501" s="164"/>
      <c r="S501" s="164"/>
      <c r="T501" s="164"/>
      <c r="U501" s="164"/>
      <c r="V501" s="164"/>
      <c r="W501" s="164"/>
      <c r="X501" s="164"/>
    </row>
    <row r="502" spans="1:24" s="503" customFormat="1">
      <c r="C502" s="469"/>
      <c r="D502" s="1329"/>
      <c r="E502" s="469"/>
      <c r="F502" s="469"/>
      <c r="G502" s="1326" t="s">
        <v>1235</v>
      </c>
      <c r="H502" s="1327"/>
      <c r="I502" s="1324"/>
      <c r="J502" s="1324" t="s">
        <v>3799</v>
      </c>
      <c r="K502" s="469"/>
      <c r="L502" s="1327"/>
      <c r="M502" s="469"/>
      <c r="N502" s="470"/>
      <c r="O502" s="1318"/>
      <c r="P502" s="1318"/>
      <c r="Q502" s="536"/>
      <c r="R502" s="164"/>
      <c r="S502" s="164"/>
      <c r="T502" s="164"/>
      <c r="U502" s="164"/>
      <c r="V502" s="164"/>
      <c r="W502" s="164"/>
      <c r="X502" s="164"/>
    </row>
    <row r="503" spans="1:24" s="164" customFormat="1">
      <c r="A503" s="503"/>
      <c r="B503" s="503"/>
      <c r="C503" s="469"/>
      <c r="D503" s="1329"/>
      <c r="E503" s="469"/>
      <c r="F503" s="469"/>
      <c r="G503" s="1326" t="s">
        <v>1650</v>
      </c>
      <c r="H503" s="1327"/>
      <c r="I503" s="1324"/>
      <c r="J503" s="1324" t="s">
        <v>3800</v>
      </c>
      <c r="K503" s="469"/>
      <c r="L503" s="1327"/>
      <c r="M503" s="469"/>
      <c r="N503" s="470"/>
      <c r="O503" s="1318"/>
      <c r="P503" s="1318"/>
      <c r="Q503" s="536"/>
    </row>
    <row r="504" spans="1:24" s="164" customFormat="1">
      <c r="A504" s="503"/>
      <c r="B504" s="503"/>
      <c r="C504" s="469"/>
      <c r="D504" s="1330"/>
      <c r="E504" s="469"/>
      <c r="F504" s="469"/>
      <c r="G504" s="1326" t="s">
        <v>994</v>
      </c>
      <c r="H504" s="1327"/>
      <c r="I504" s="1324"/>
      <c r="J504" s="1324" t="s">
        <v>4011</v>
      </c>
      <c r="K504" s="469"/>
      <c r="L504" s="1327"/>
      <c r="M504" s="469"/>
      <c r="N504" s="470"/>
      <c r="O504" s="1318"/>
      <c r="P504" s="1318"/>
      <c r="Q504" s="536"/>
    </row>
    <row r="505" spans="1:24" s="164" customFormat="1">
      <c r="A505" s="503"/>
      <c r="B505" s="503"/>
      <c r="C505" s="469"/>
      <c r="D505" s="1330"/>
      <c r="E505" s="1330"/>
      <c r="F505" s="469"/>
      <c r="G505" s="1326" t="s">
        <v>579</v>
      </c>
      <c r="H505" s="1327"/>
      <c r="I505" s="1324"/>
      <c r="J505" s="1324" t="s">
        <v>4014</v>
      </c>
      <c r="K505" s="469"/>
      <c r="L505" s="1324"/>
      <c r="M505" s="469"/>
      <c r="N505" s="470"/>
      <c r="O505" s="1318"/>
      <c r="P505" s="1318"/>
      <c r="Q505" s="536"/>
    </row>
    <row r="506" spans="1:24" s="164" customFormat="1">
      <c r="A506" s="503"/>
      <c r="B506" s="503"/>
      <c r="C506" s="469"/>
      <c r="D506" s="469"/>
      <c r="E506" s="469"/>
      <c r="F506" s="469"/>
      <c r="G506" s="1326" t="s">
        <v>1651</v>
      </c>
      <c r="H506" s="1327"/>
      <c r="I506" s="1324"/>
      <c r="J506" s="1324" t="s">
        <v>4015</v>
      </c>
      <c r="K506" s="469"/>
      <c r="L506" s="1327"/>
      <c r="M506" s="469"/>
      <c r="N506" s="470"/>
      <c r="O506" s="1318"/>
      <c r="P506" s="1318"/>
      <c r="Q506" s="536"/>
    </row>
    <row r="507" spans="1:24" s="164" customFormat="1">
      <c r="A507" s="503"/>
      <c r="B507" s="503"/>
      <c r="C507" s="469"/>
      <c r="D507" s="469"/>
      <c r="E507" s="469"/>
      <c r="F507" s="469"/>
      <c r="G507" s="1326" t="s">
        <v>1692</v>
      </c>
      <c r="H507" s="1327"/>
      <c r="I507" s="1324"/>
      <c r="J507" s="1324" t="s">
        <v>3801</v>
      </c>
      <c r="K507" s="469"/>
      <c r="L507" s="1327"/>
      <c r="M507" s="469"/>
      <c r="N507" s="470"/>
      <c r="O507" s="1318"/>
      <c r="P507" s="1318"/>
      <c r="Q507" s="536"/>
    </row>
    <row r="508" spans="1:24" s="164" customFormat="1">
      <c r="A508" s="503"/>
      <c r="B508" s="503"/>
      <c r="C508" s="1329"/>
      <c r="D508" s="469"/>
      <c r="E508" s="469"/>
      <c r="F508" s="469"/>
      <c r="G508" s="1326" t="s">
        <v>1753</v>
      </c>
      <c r="H508" s="1324"/>
      <c r="I508" s="1324"/>
      <c r="J508" s="1324" t="s">
        <v>3802</v>
      </c>
      <c r="K508" s="469"/>
      <c r="L508" s="1327"/>
      <c r="M508" s="469"/>
      <c r="N508" s="470"/>
      <c r="O508" s="1318"/>
      <c r="P508" s="1318"/>
      <c r="Q508" s="536"/>
    </row>
    <row r="509" spans="1:24" s="164" customFormat="1">
      <c r="A509" s="503"/>
      <c r="B509" s="503"/>
      <c r="C509" s="1329"/>
      <c r="D509" s="469"/>
      <c r="E509" s="469"/>
      <c r="F509" s="469"/>
      <c r="G509" s="1326" t="s">
        <v>3414</v>
      </c>
      <c r="H509" s="1324"/>
      <c r="I509" s="1324"/>
      <c r="J509" s="1324"/>
      <c r="K509" s="469"/>
      <c r="L509" s="1327"/>
      <c r="M509" s="469"/>
      <c r="N509" s="470"/>
      <c r="O509" s="1318"/>
      <c r="P509" s="1318"/>
      <c r="Q509" s="536"/>
    </row>
    <row r="510" spans="1:24" s="164" customFormat="1">
      <c r="A510" s="503"/>
      <c r="B510" s="503"/>
      <c r="C510" s="1329"/>
      <c r="D510" s="469"/>
      <c r="E510" s="469"/>
      <c r="F510" s="469"/>
      <c r="G510" s="1326" t="s">
        <v>829</v>
      </c>
      <c r="H510" s="1324"/>
      <c r="I510" s="1324"/>
      <c r="J510" s="1324"/>
      <c r="K510" s="469"/>
      <c r="L510" s="1327"/>
      <c r="M510" s="469"/>
      <c r="N510" s="470"/>
      <c r="O510" s="1318"/>
      <c r="P510" s="1318"/>
      <c r="Q510" s="536"/>
    </row>
    <row r="511" spans="1:24" s="164" customFormat="1">
      <c r="A511" s="503"/>
      <c r="B511" s="503"/>
      <c r="C511" s="1329"/>
      <c r="D511" s="469"/>
      <c r="E511" s="469"/>
      <c r="F511" s="469"/>
      <c r="G511" s="1326" t="s">
        <v>180</v>
      </c>
      <c r="H511" s="1324"/>
      <c r="I511" s="1324"/>
      <c r="J511" s="1324"/>
      <c r="K511" s="469"/>
      <c r="L511" s="1327"/>
      <c r="M511" s="469"/>
      <c r="N511" s="470"/>
      <c r="O511" s="1318"/>
      <c r="P511" s="1318"/>
      <c r="Q511" s="536"/>
    </row>
    <row r="512" spans="1:24" s="164" customFormat="1">
      <c r="A512" s="503"/>
      <c r="B512" s="503"/>
      <c r="C512" s="1329"/>
      <c r="D512" s="469"/>
      <c r="E512" s="469"/>
      <c r="F512" s="469"/>
      <c r="G512" s="1326" t="s">
        <v>4101</v>
      </c>
      <c r="H512" s="1324"/>
      <c r="I512" s="1324"/>
      <c r="J512" s="1324"/>
      <c r="K512" s="469"/>
      <c r="L512" s="1327"/>
      <c r="M512" s="469"/>
      <c r="N512" s="470"/>
      <c r="O512" s="1318"/>
      <c r="P512" s="1318"/>
      <c r="Q512" s="536"/>
    </row>
    <row r="513" spans="1:17" s="164" customFormat="1">
      <c r="A513" s="503"/>
      <c r="B513" s="503"/>
      <c r="C513" s="1329"/>
      <c r="D513" s="469"/>
      <c r="E513" s="469"/>
      <c r="F513" s="469"/>
      <c r="G513" s="1326" t="s">
        <v>526</v>
      </c>
      <c r="H513" s="1324"/>
      <c r="I513" s="1324"/>
      <c r="J513" s="1324"/>
      <c r="K513" s="469"/>
      <c r="L513" s="1327"/>
      <c r="M513" s="469"/>
      <c r="N513" s="470"/>
      <c r="O513" s="1318"/>
      <c r="P513" s="1318"/>
      <c r="Q513" s="536"/>
    </row>
    <row r="514" spans="1:17" s="164" customFormat="1">
      <c r="A514" s="503"/>
      <c r="B514" s="503"/>
      <c r="C514" s="1329"/>
      <c r="D514" s="469"/>
      <c r="E514" s="469"/>
      <c r="F514" s="469"/>
      <c r="G514" s="1326" t="s">
        <v>534</v>
      </c>
      <c r="H514" s="1324"/>
      <c r="I514" s="1324"/>
      <c r="J514" s="1324"/>
      <c r="K514" s="469"/>
      <c r="L514" s="1324"/>
      <c r="M514" s="469"/>
      <c r="N514" s="470"/>
      <c r="O514" s="1318"/>
      <c r="P514" s="1318"/>
      <c r="Q514" s="536"/>
    </row>
    <row r="515" spans="1:17" s="164" customFormat="1">
      <c r="A515" s="503"/>
      <c r="B515" s="503"/>
      <c r="C515" s="1330"/>
      <c r="D515" s="469"/>
      <c r="E515" s="469"/>
      <c r="F515" s="469"/>
      <c r="G515" s="1326" t="s">
        <v>547</v>
      </c>
      <c r="H515" s="1324"/>
      <c r="I515" s="1324"/>
      <c r="J515" s="1324"/>
      <c r="K515" s="469"/>
      <c r="L515" s="1324"/>
      <c r="M515" s="469"/>
      <c r="N515" s="470"/>
      <c r="O515" s="1318"/>
      <c r="P515" s="1318"/>
      <c r="Q515" s="536"/>
    </row>
    <row r="516" spans="1:17" s="164" customFormat="1">
      <c r="A516" s="503"/>
      <c r="B516" s="503"/>
      <c r="C516" s="1330"/>
      <c r="D516" s="469"/>
      <c r="E516" s="469"/>
      <c r="F516" s="469"/>
      <c r="G516" s="1326" t="s">
        <v>1648</v>
      </c>
      <c r="H516" s="1324"/>
      <c r="I516" s="1324"/>
      <c r="J516" s="1324"/>
      <c r="K516" s="469"/>
      <c r="L516" s="1324"/>
      <c r="M516" s="469"/>
      <c r="N516" s="470"/>
      <c r="O516" s="1318"/>
      <c r="P516" s="1318"/>
      <c r="Q516" s="536"/>
    </row>
    <row r="517" spans="1:17" s="164" customFormat="1">
      <c r="A517" s="503"/>
      <c r="B517" s="503"/>
      <c r="C517" s="469"/>
      <c r="D517" s="469"/>
      <c r="E517" s="469"/>
      <c r="F517" s="469"/>
      <c r="G517" s="1326" t="s">
        <v>2111</v>
      </c>
      <c r="H517" s="1324"/>
      <c r="I517" s="1324"/>
      <c r="J517" s="1324"/>
      <c r="K517" s="469"/>
      <c r="L517" s="1324"/>
      <c r="M517" s="469"/>
      <c r="N517" s="470"/>
      <c r="O517" s="1318"/>
      <c r="P517" s="1318"/>
      <c r="Q517" s="536"/>
    </row>
    <row r="518" spans="1:17" s="164" customFormat="1">
      <c r="A518" s="503"/>
      <c r="B518" s="503"/>
      <c r="C518" s="469"/>
      <c r="D518" s="469"/>
      <c r="E518" s="469"/>
      <c r="F518" s="469"/>
      <c r="G518" s="1326" t="s">
        <v>2264</v>
      </c>
      <c r="H518" s="1324"/>
      <c r="I518" s="1324"/>
      <c r="J518" s="1324"/>
      <c r="K518" s="1324"/>
      <c r="L518" s="469"/>
      <c r="M518" s="469"/>
      <c r="N518" s="470"/>
      <c r="O518" s="1318"/>
      <c r="P518" s="1318"/>
      <c r="Q518" s="536"/>
    </row>
    <row r="519" spans="1:17" s="164" customFormat="1">
      <c r="A519" s="503"/>
      <c r="B519" s="503"/>
      <c r="C519" s="469"/>
      <c r="D519" s="469"/>
      <c r="E519" s="469"/>
      <c r="F519" s="469"/>
      <c r="G519" s="1326" t="s">
        <v>400</v>
      </c>
      <c r="H519" s="1324"/>
      <c r="I519" s="1324"/>
      <c r="J519" s="1324"/>
      <c r="K519" s="1324"/>
      <c r="L519" s="469"/>
      <c r="M519" s="469"/>
      <c r="N519" s="470"/>
      <c r="O519" s="1318"/>
      <c r="P519" s="1318"/>
      <c r="Q519" s="536"/>
    </row>
    <row r="520" spans="1:17" s="164" customFormat="1">
      <c r="A520" s="503"/>
      <c r="B520" s="503"/>
      <c r="C520" s="469"/>
      <c r="D520" s="469"/>
      <c r="E520" s="469"/>
      <c r="F520" s="469"/>
      <c r="G520" s="1326" t="s">
        <v>1450</v>
      </c>
      <c r="H520" s="1324"/>
      <c r="I520" s="1324"/>
      <c r="J520" s="1324"/>
      <c r="K520" s="1324"/>
      <c r="L520" s="469"/>
      <c r="M520" s="469"/>
      <c r="N520" s="470"/>
      <c r="O520" s="1318"/>
      <c r="P520" s="1318"/>
      <c r="Q520" s="536"/>
    </row>
    <row r="521" spans="1:17" s="164" customFormat="1">
      <c r="A521" s="503"/>
      <c r="B521" s="503"/>
      <c r="C521" s="469"/>
      <c r="D521" s="469"/>
      <c r="E521" s="469"/>
      <c r="F521" s="469"/>
      <c r="G521" s="1326" t="s">
        <v>2138</v>
      </c>
      <c r="H521" s="1324"/>
      <c r="I521" s="1324"/>
      <c r="J521" s="1324"/>
      <c r="K521" s="1324"/>
      <c r="L521" s="469"/>
      <c r="M521" s="469"/>
      <c r="N521" s="470"/>
      <c r="O521" s="1318"/>
      <c r="P521" s="1318"/>
      <c r="Q521" s="536"/>
    </row>
    <row r="522" spans="1:17" s="164" customFormat="1">
      <c r="A522" s="503"/>
      <c r="B522" s="503"/>
      <c r="C522" s="469"/>
      <c r="D522" s="469"/>
      <c r="E522" s="469"/>
      <c r="F522" s="469"/>
      <c r="G522" s="1326" t="s">
        <v>1453</v>
      </c>
      <c r="H522" s="1324"/>
      <c r="I522" s="1324"/>
      <c r="J522" s="1324"/>
      <c r="K522" s="1324"/>
      <c r="L522" s="469"/>
      <c r="M522" s="469"/>
      <c r="N522" s="470"/>
      <c r="O522" s="1318"/>
      <c r="P522" s="1318"/>
      <c r="Q522" s="536"/>
    </row>
    <row r="523" spans="1:17" s="164" customFormat="1">
      <c r="A523" s="503"/>
      <c r="B523" s="503"/>
      <c r="C523" s="469"/>
      <c r="D523" s="469"/>
      <c r="E523" s="469"/>
      <c r="F523" s="469"/>
      <c r="G523" s="1326" t="s">
        <v>1568</v>
      </c>
      <c r="H523" s="1324"/>
      <c r="I523" s="1324"/>
      <c r="J523" s="1324"/>
      <c r="K523" s="1324"/>
      <c r="L523" s="469"/>
      <c r="M523" s="469"/>
      <c r="N523" s="470"/>
      <c r="O523" s="1318"/>
      <c r="P523" s="1318"/>
      <c r="Q523" s="536"/>
    </row>
    <row r="524" spans="1:17" s="164" customFormat="1">
      <c r="A524" s="503"/>
      <c r="B524" s="503"/>
      <c r="C524" s="469"/>
      <c r="D524" s="469"/>
      <c r="E524" s="469"/>
      <c r="F524" s="469"/>
      <c r="G524" s="1326" t="s">
        <v>247</v>
      </c>
      <c r="H524" s="1324"/>
      <c r="I524" s="1324"/>
      <c r="J524" s="1324"/>
      <c r="K524" s="1324"/>
      <c r="L524" s="469"/>
      <c r="M524" s="469"/>
      <c r="N524" s="470"/>
      <c r="O524" s="1318"/>
      <c r="P524" s="1318"/>
      <c r="Q524" s="536"/>
    </row>
    <row r="525" spans="1:17" s="164" customFormat="1">
      <c r="A525" s="503"/>
      <c r="B525" s="503"/>
      <c r="C525" s="469"/>
      <c r="D525" s="469"/>
      <c r="E525" s="469"/>
      <c r="F525" s="469"/>
      <c r="G525" s="1326" t="s">
        <v>68</v>
      </c>
      <c r="H525" s="1324"/>
      <c r="I525" s="1324"/>
      <c r="J525" s="1324"/>
      <c r="K525" s="1324"/>
      <c r="L525" s="469"/>
      <c r="M525" s="469"/>
      <c r="N525" s="470"/>
      <c r="O525" s="1318"/>
      <c r="P525" s="1318"/>
      <c r="Q525" s="536"/>
    </row>
    <row r="526" spans="1:17" s="164" customFormat="1">
      <c r="A526" s="503"/>
      <c r="B526" s="503"/>
      <c r="C526" s="469"/>
      <c r="D526" s="469"/>
      <c r="E526" s="469"/>
      <c r="F526" s="469"/>
      <c r="G526" s="1326" t="s">
        <v>1053</v>
      </c>
      <c r="H526" s="1324"/>
      <c r="I526" s="1324"/>
      <c r="J526" s="1324"/>
      <c r="K526" s="1324"/>
      <c r="L526" s="469"/>
      <c r="M526" s="469"/>
      <c r="N526" s="470"/>
      <c r="O526" s="1318"/>
      <c r="P526" s="1318"/>
      <c r="Q526" s="536"/>
    </row>
    <row r="527" spans="1:17" s="164" customFormat="1">
      <c r="A527" s="503"/>
      <c r="B527" s="503"/>
      <c r="C527" s="469"/>
      <c r="D527" s="469"/>
      <c r="E527" s="469"/>
      <c r="F527" s="469"/>
      <c r="G527" s="1326" t="s">
        <v>2284</v>
      </c>
      <c r="H527" s="1324"/>
      <c r="I527" s="1324"/>
      <c r="J527" s="1324"/>
      <c r="K527" s="1324"/>
      <c r="L527" s="469"/>
      <c r="M527" s="469"/>
      <c r="N527" s="470"/>
      <c r="O527" s="1318"/>
      <c r="P527" s="1318"/>
      <c r="Q527" s="536"/>
    </row>
    <row r="528" spans="1:17" s="164" customFormat="1">
      <c r="A528" s="503"/>
      <c r="B528" s="503"/>
      <c r="C528" s="469"/>
      <c r="D528" s="469"/>
      <c r="E528" s="469"/>
      <c r="F528" s="469"/>
      <c r="G528" s="1319" t="s">
        <v>2180</v>
      </c>
      <c r="H528" s="1324"/>
      <c r="I528" s="1324"/>
      <c r="J528" s="1324"/>
      <c r="K528" s="1324"/>
      <c r="L528" s="469"/>
      <c r="M528" s="469"/>
      <c r="N528" s="470"/>
      <c r="O528" s="1318"/>
      <c r="P528" s="1318"/>
      <c r="Q528" s="536"/>
    </row>
    <row r="529" spans="1:24" s="164" customFormat="1">
      <c r="A529" s="503"/>
      <c r="B529" s="503"/>
      <c r="C529" s="469"/>
      <c r="D529" s="469"/>
      <c r="E529" s="469"/>
      <c r="F529" s="469"/>
      <c r="G529" s="1319" t="s">
        <v>1652</v>
      </c>
      <c r="H529" s="469"/>
      <c r="I529" s="469"/>
      <c r="J529" s="1324"/>
      <c r="K529" s="469"/>
      <c r="L529" s="469"/>
      <c r="M529" s="469"/>
      <c r="N529" s="470"/>
      <c r="O529" s="1318"/>
      <c r="P529" s="1318"/>
      <c r="Q529" s="536"/>
    </row>
    <row r="530" spans="1:24" s="164" customFormat="1">
      <c r="A530" s="503"/>
      <c r="B530" s="503"/>
      <c r="C530" s="469"/>
      <c r="D530" s="469"/>
      <c r="E530" s="469"/>
      <c r="F530" s="469"/>
      <c r="G530" s="1319" t="s">
        <v>2276</v>
      </c>
      <c r="H530" s="469"/>
      <c r="I530" s="469"/>
      <c r="J530" s="1324"/>
      <c r="K530" s="469"/>
      <c r="L530" s="469"/>
      <c r="M530" s="469"/>
      <c r="N530" s="470"/>
      <c r="O530" s="1318"/>
      <c r="P530" s="1318"/>
      <c r="Q530" s="536"/>
    </row>
    <row r="531" spans="1:24" s="164" customFormat="1">
      <c r="A531" s="503"/>
      <c r="B531" s="503"/>
      <c r="C531" s="469"/>
      <c r="D531" s="469"/>
      <c r="E531" s="469"/>
      <c r="F531" s="469"/>
      <c r="G531" s="1319" t="s">
        <v>2143</v>
      </c>
      <c r="H531" s="469"/>
      <c r="I531" s="469"/>
      <c r="J531" s="1324"/>
      <c r="K531" s="469"/>
      <c r="L531" s="469"/>
      <c r="M531" s="469"/>
      <c r="N531" s="470"/>
      <c r="O531" s="1318"/>
      <c r="P531" s="1318"/>
      <c r="Q531" s="536"/>
    </row>
    <row r="532" spans="1:24" s="164" customFormat="1">
      <c r="A532" s="503"/>
      <c r="B532" s="503"/>
      <c r="C532" s="469"/>
      <c r="D532" s="469"/>
      <c r="E532" s="469"/>
      <c r="F532" s="469"/>
      <c r="G532" s="1319" t="s">
        <v>1653</v>
      </c>
      <c r="H532" s="469"/>
      <c r="I532" s="469"/>
      <c r="J532" s="1324"/>
      <c r="K532" s="469"/>
      <c r="L532" s="469"/>
      <c r="M532" s="469"/>
      <c r="N532" s="470"/>
      <c r="O532" s="1318"/>
      <c r="P532" s="1318"/>
      <c r="Q532" s="536"/>
    </row>
    <row r="533" spans="1:24" s="164" customFormat="1">
      <c r="A533" s="503"/>
      <c r="B533" s="503"/>
      <c r="C533" s="469"/>
      <c r="D533" s="469"/>
      <c r="E533" s="469"/>
      <c r="F533" s="469"/>
      <c r="G533" s="1319" t="s">
        <v>2350</v>
      </c>
      <c r="H533" s="469"/>
      <c r="I533" s="469"/>
      <c r="J533" s="469"/>
      <c r="K533" s="469"/>
      <c r="L533" s="469"/>
      <c r="M533" s="469"/>
      <c r="N533" s="470"/>
      <c r="O533" s="1318"/>
      <c r="P533" s="1318"/>
      <c r="Q533" s="536"/>
    </row>
    <row r="534" spans="1:24">
      <c r="A534" s="503"/>
      <c r="B534" s="503"/>
      <c r="C534" s="469"/>
      <c r="D534" s="469"/>
      <c r="E534" s="469"/>
      <c r="F534" s="469"/>
      <c r="G534" s="1319" t="s">
        <v>1699</v>
      </c>
      <c r="H534" s="469"/>
      <c r="I534" s="469"/>
      <c r="J534" s="469"/>
      <c r="K534" s="469"/>
      <c r="L534" s="469"/>
      <c r="M534" s="469"/>
      <c r="N534" s="470"/>
      <c r="O534" s="1318"/>
      <c r="P534" s="1318"/>
      <c r="Q534" s="536"/>
      <c r="R534" s="164"/>
      <c r="S534" s="164"/>
      <c r="T534" s="164"/>
      <c r="U534" s="164"/>
      <c r="V534" s="164"/>
      <c r="W534" s="164"/>
      <c r="X534" s="164"/>
    </row>
    <row r="535" spans="1:24">
      <c r="A535" s="503"/>
      <c r="B535" s="503"/>
      <c r="C535" s="469"/>
      <c r="D535" s="469"/>
      <c r="E535" s="469"/>
      <c r="F535" s="469"/>
      <c r="G535" s="1319" t="s">
        <v>4540</v>
      </c>
      <c r="H535" s="469"/>
      <c r="I535" s="469"/>
      <c r="J535" s="469"/>
      <c r="K535" s="469"/>
      <c r="L535" s="469"/>
      <c r="M535" s="469"/>
      <c r="N535" s="470"/>
      <c r="O535" s="1318"/>
      <c r="P535" s="1318"/>
      <c r="Q535" s="536"/>
      <c r="R535" s="164"/>
      <c r="S535" s="164"/>
      <c r="T535" s="164"/>
      <c r="U535" s="164"/>
      <c r="V535" s="164"/>
      <c r="W535" s="164"/>
      <c r="X535" s="164"/>
    </row>
    <row r="536" spans="1:24">
      <c r="A536" s="503"/>
      <c r="B536" s="503"/>
      <c r="C536" s="469"/>
      <c r="D536" s="469"/>
      <c r="E536" s="469"/>
      <c r="F536" s="469"/>
      <c r="G536" s="1324" t="s">
        <v>2277</v>
      </c>
      <c r="H536" s="469"/>
      <c r="I536" s="469"/>
      <c r="J536" s="469"/>
      <c r="K536" s="469"/>
      <c r="L536" s="469"/>
      <c r="M536" s="469"/>
      <c r="N536" s="470"/>
      <c r="O536" s="1318"/>
      <c r="P536" s="1318"/>
      <c r="Q536" s="536"/>
      <c r="R536" s="164"/>
      <c r="S536" s="164"/>
      <c r="T536" s="164"/>
    </row>
    <row r="537" spans="1:24">
      <c r="A537" s="503"/>
      <c r="B537" s="503"/>
      <c r="C537" s="469"/>
      <c r="D537" s="469"/>
      <c r="E537" s="469"/>
      <c r="F537" s="469"/>
      <c r="G537" s="1324" t="s">
        <v>1706</v>
      </c>
      <c r="H537" s="469"/>
      <c r="I537" s="469"/>
      <c r="J537" s="469"/>
      <c r="K537" s="469"/>
      <c r="L537" s="469"/>
      <c r="M537" s="469"/>
      <c r="N537" s="470"/>
      <c r="O537" s="1318"/>
      <c r="P537" s="1318"/>
      <c r="Q537" s="536"/>
      <c r="R537" s="164"/>
      <c r="S537" s="164"/>
      <c r="T537" s="164"/>
    </row>
    <row r="538" spans="1:24">
      <c r="A538" s="503"/>
      <c r="B538" s="503"/>
      <c r="C538" s="469"/>
      <c r="D538" s="469"/>
      <c r="E538" s="469"/>
      <c r="F538" s="469"/>
      <c r="G538" s="1324" t="s">
        <v>1709</v>
      </c>
      <c r="H538" s="469"/>
      <c r="I538" s="469"/>
      <c r="J538" s="469"/>
      <c r="K538" s="469"/>
      <c r="L538" s="469"/>
      <c r="M538" s="469"/>
      <c r="N538" s="470"/>
      <c r="O538" s="1318"/>
      <c r="P538" s="1318"/>
      <c r="Q538" s="536"/>
      <c r="R538" s="164"/>
      <c r="S538" s="164"/>
      <c r="T538" s="164"/>
    </row>
    <row r="539" spans="1:24">
      <c r="A539" s="503"/>
      <c r="B539" s="503"/>
      <c r="C539" s="503"/>
      <c r="D539" s="503"/>
      <c r="E539" s="503"/>
      <c r="F539" s="503"/>
      <c r="G539" s="503"/>
      <c r="H539" s="503"/>
      <c r="I539" s="503"/>
      <c r="J539" s="503"/>
      <c r="K539" s="503"/>
      <c r="L539" s="503"/>
      <c r="M539" s="503"/>
      <c r="N539" s="1142"/>
      <c r="O539" s="1143"/>
    </row>
    <row r="540" spans="1:24">
      <c r="G540" s="164"/>
      <c r="H540" s="164"/>
      <c r="I540" s="164"/>
      <c r="J540" s="164"/>
    </row>
    <row r="541" spans="1:24">
      <c r="G541" s="164"/>
      <c r="H541" s="164"/>
      <c r="I541" s="164"/>
      <c r="J541" s="164"/>
    </row>
  </sheetData>
  <sheetProtection algorithmName="SHA-512" hashValue="DLN9l51RMn7hSC0KL/fzYGu3VIHM+viq109XmO96dR34Tpm7PRo0PqY8FYMblbCTlOo4/cu+MkLc3+wvJ11lTA==" saltValue="O/kzLjdBbxxsIfjJCS7sbQ==" spinCount="100000" sheet="1" formatRows="0"/>
  <mergeCells count="361">
    <mergeCell ref="M164:N164"/>
    <mergeCell ref="M163:N163"/>
    <mergeCell ref="L222:M222"/>
    <mergeCell ref="G222:H222"/>
    <mergeCell ref="N252:P252"/>
    <mergeCell ref="L252:M252"/>
    <mergeCell ref="J371:K371"/>
    <mergeCell ref="C367:M368"/>
    <mergeCell ref="C209:K209"/>
    <mergeCell ref="C263:L263"/>
    <mergeCell ref="A266:P266"/>
    <mergeCell ref="L221:M221"/>
    <mergeCell ref="B220:C220"/>
    <mergeCell ref="B218:C218"/>
    <mergeCell ref="A218:A220"/>
    <mergeCell ref="D220:P220"/>
    <mergeCell ref="J370:K370"/>
    <mergeCell ref="M370:P370"/>
    <mergeCell ref="L126:N126"/>
    <mergeCell ref="G407:I407"/>
    <mergeCell ref="M380:P380"/>
    <mergeCell ref="J381:K381"/>
    <mergeCell ref="M381:P381"/>
    <mergeCell ref="A384:D385"/>
    <mergeCell ref="L127:N127"/>
    <mergeCell ref="O127:P127"/>
    <mergeCell ref="I135:N135"/>
    <mergeCell ref="C135:F135"/>
    <mergeCell ref="C128:K128"/>
    <mergeCell ref="L128:N128"/>
    <mergeCell ref="O128:P128"/>
    <mergeCell ref="C126:K126"/>
    <mergeCell ref="O126:P126"/>
    <mergeCell ref="J385:K385"/>
    <mergeCell ref="J377:K377"/>
    <mergeCell ref="J372:K372"/>
    <mergeCell ref="M372:P372"/>
    <mergeCell ref="G146:P146"/>
    <mergeCell ref="I338:P338"/>
    <mergeCell ref="J295:K295"/>
    <mergeCell ref="J374:K374"/>
    <mergeCell ref="G148:P148"/>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185:P185"/>
    <mergeCell ref="M200:P200"/>
    <mergeCell ref="O175:P175"/>
    <mergeCell ref="B175:D175"/>
    <mergeCell ref="M197:P197"/>
    <mergeCell ref="O422:P422"/>
    <mergeCell ref="O427:P427"/>
    <mergeCell ref="O426:P426"/>
    <mergeCell ref="M419:N420"/>
    <mergeCell ref="B419:L422"/>
    <mergeCell ref="B426:L427"/>
    <mergeCell ref="J383:K383"/>
    <mergeCell ref="J384:K384"/>
    <mergeCell ref="M384:P384"/>
    <mergeCell ref="C401:M401"/>
    <mergeCell ref="O421:P421"/>
    <mergeCell ref="O420:P420"/>
    <mergeCell ref="C398:I400"/>
    <mergeCell ref="C388:M388"/>
    <mergeCell ref="Q164:R164"/>
    <mergeCell ref="D165:F165"/>
    <mergeCell ref="Q163:R163"/>
    <mergeCell ref="Q165:R165"/>
    <mergeCell ref="D163:F163"/>
    <mergeCell ref="D164:F164"/>
    <mergeCell ref="J222:K222"/>
    <mergeCell ref="R364:S366"/>
    <mergeCell ref="A314:P314"/>
    <mergeCell ref="H354:L354"/>
    <mergeCell ref="L356:P356"/>
    <mergeCell ref="L364:M366"/>
    <mergeCell ref="A322:P322"/>
    <mergeCell ref="A335:P335"/>
    <mergeCell ref="M287:M288"/>
    <mergeCell ref="A290:P290"/>
    <mergeCell ref="Q296:Z296"/>
    <mergeCell ref="A312:P312"/>
    <mergeCell ref="H348:K348"/>
    <mergeCell ref="A292:P292"/>
    <mergeCell ref="T173:X173"/>
    <mergeCell ref="T172:X172"/>
    <mergeCell ref="M196:P196"/>
    <mergeCell ref="M216:P216"/>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A429:P429"/>
    <mergeCell ref="B423:P423"/>
    <mergeCell ref="A431:P431"/>
    <mergeCell ref="C403:M403"/>
    <mergeCell ref="C406:L406"/>
    <mergeCell ref="A412:P412"/>
    <mergeCell ref="D416:I416"/>
    <mergeCell ref="J375:K375"/>
    <mergeCell ref="M373:P373"/>
    <mergeCell ref="J376:K376"/>
    <mergeCell ref="M376:P376"/>
    <mergeCell ref="A224:P224"/>
    <mergeCell ref="A226:P226"/>
    <mergeCell ref="L253:M253"/>
    <mergeCell ref="N253:P253"/>
    <mergeCell ref="M398:M400"/>
    <mergeCell ref="J380:K380"/>
    <mergeCell ref="A392:P392"/>
    <mergeCell ref="A394:P394"/>
    <mergeCell ref="J379:K379"/>
    <mergeCell ref="M379:P379"/>
    <mergeCell ref="M385:P385"/>
    <mergeCell ref="M377:P377"/>
    <mergeCell ref="J378:K378"/>
    <mergeCell ref="M378:P378"/>
    <mergeCell ref="M374:P374"/>
    <mergeCell ref="J373:K373"/>
    <mergeCell ref="F30:N30"/>
    <mergeCell ref="F32:N32"/>
    <mergeCell ref="F31:N31"/>
    <mergeCell ref="H45:I45"/>
    <mergeCell ref="B46:F47"/>
    <mergeCell ref="K46:L46"/>
    <mergeCell ref="G47:J47"/>
    <mergeCell ref="F33:N33"/>
    <mergeCell ref="M195:P195"/>
    <mergeCell ref="M161:N162"/>
    <mergeCell ref="I161:L161"/>
    <mergeCell ref="M165:N165"/>
    <mergeCell ref="A63:P63"/>
    <mergeCell ref="A65:P65"/>
    <mergeCell ref="F75:G75"/>
    <mergeCell ref="H75:I75"/>
    <mergeCell ref="J75:K75"/>
    <mergeCell ref="L75:M75"/>
    <mergeCell ref="D117:P117"/>
    <mergeCell ref="C125:K125"/>
    <mergeCell ref="L125:N125"/>
    <mergeCell ref="O125:P125"/>
    <mergeCell ref="L76:M76"/>
    <mergeCell ref="C127:K12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A410:P410"/>
    <mergeCell ref="A439:P439"/>
    <mergeCell ref="D236:H236"/>
    <mergeCell ref="J236:N236"/>
    <mergeCell ref="D237:F237"/>
    <mergeCell ref="C370:I370"/>
    <mergeCell ref="K308:L310"/>
    <mergeCell ref="B219:C219"/>
    <mergeCell ref="K24:N24"/>
    <mergeCell ref="I60:L62"/>
    <mergeCell ref="O38:P38"/>
    <mergeCell ref="O40:P40"/>
    <mergeCell ref="O41:P41"/>
    <mergeCell ref="O34:P34"/>
    <mergeCell ref="O35:P35"/>
    <mergeCell ref="O36:P36"/>
    <mergeCell ref="A55:P55"/>
    <mergeCell ref="I57:K57"/>
    <mergeCell ref="F39:N39"/>
    <mergeCell ref="F38:N38"/>
    <mergeCell ref="F37:N37"/>
    <mergeCell ref="F36:N36"/>
    <mergeCell ref="F35:N35"/>
    <mergeCell ref="F34:N34"/>
    <mergeCell ref="O31:P31"/>
    <mergeCell ref="O32:P32"/>
    <mergeCell ref="O33:P33"/>
    <mergeCell ref="O29:P29"/>
    <mergeCell ref="F41:N41"/>
    <mergeCell ref="H51:I51"/>
    <mergeCell ref="O37:P37"/>
    <mergeCell ref="F40:N40"/>
    <mergeCell ref="O24:P24"/>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A1:P1"/>
    <mergeCell ref="A3:L4"/>
    <mergeCell ref="O15:P15"/>
    <mergeCell ref="A16:E16"/>
    <mergeCell ref="G16:I16"/>
    <mergeCell ref="K16:N16"/>
    <mergeCell ref="O16:P16"/>
    <mergeCell ref="A14:E15"/>
    <mergeCell ref="G15:I15"/>
    <mergeCell ref="O14:P14"/>
    <mergeCell ref="K15:N15"/>
    <mergeCell ref="Q162:R162"/>
    <mergeCell ref="O30:P30"/>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Q274:R277"/>
    <mergeCell ref="D241:H241"/>
    <mergeCell ref="C248:P248"/>
    <mergeCell ref="C249:P249"/>
    <mergeCell ref="C250:P250"/>
    <mergeCell ref="C252:K252"/>
    <mergeCell ref="C253:K253"/>
    <mergeCell ref="C254:K254"/>
    <mergeCell ref="K277:K278"/>
    <mergeCell ref="C277:I279"/>
    <mergeCell ref="J277:J278"/>
    <mergeCell ref="N272:N274"/>
    <mergeCell ref="C258:M258"/>
    <mergeCell ref="L278:M278"/>
    <mergeCell ref="C256:M256"/>
    <mergeCell ref="J241:N241"/>
    <mergeCell ref="L254:M254"/>
    <mergeCell ref="N254:P254"/>
    <mergeCell ref="L251:M251"/>
    <mergeCell ref="N251:P251"/>
    <mergeCell ref="D243:H243"/>
    <mergeCell ref="J243:N243"/>
    <mergeCell ref="C259:M259"/>
    <mergeCell ref="C260:M260"/>
    <mergeCell ref="I83:K84"/>
    <mergeCell ref="L83:L84"/>
    <mergeCell ref="A148:B150"/>
    <mergeCell ref="R67:U77"/>
    <mergeCell ref="C87:H87"/>
    <mergeCell ref="C86:H86"/>
    <mergeCell ref="C85:H85"/>
    <mergeCell ref="F76:G76"/>
    <mergeCell ref="J76:K76"/>
    <mergeCell ref="F77:G77"/>
    <mergeCell ref="I85:L86"/>
    <mergeCell ref="A107:P107"/>
    <mergeCell ref="O100:P100"/>
    <mergeCell ref="K102:L105"/>
    <mergeCell ref="O95:P99"/>
    <mergeCell ref="J77:K77"/>
    <mergeCell ref="H76:I76"/>
    <mergeCell ref="H77:I77"/>
    <mergeCell ref="G149:P149"/>
    <mergeCell ref="C149:F149"/>
    <mergeCell ref="J73:M73"/>
    <mergeCell ref="C146:F146"/>
    <mergeCell ref="C147:F147"/>
    <mergeCell ref="C148:F148"/>
    <mergeCell ref="H121:P121"/>
    <mergeCell ref="C195:G195"/>
    <mergeCell ref="L124:N124"/>
    <mergeCell ref="O124:P124"/>
    <mergeCell ref="A109:P109"/>
    <mergeCell ref="B95:H96"/>
    <mergeCell ref="I96:L96"/>
    <mergeCell ref="I87:L88"/>
    <mergeCell ref="A92:P92"/>
    <mergeCell ref="C193:I194"/>
    <mergeCell ref="M193:P193"/>
    <mergeCell ref="B158:D159"/>
    <mergeCell ref="E172:E173"/>
    <mergeCell ref="F172:F173"/>
    <mergeCell ref="M169:N169"/>
    <mergeCell ref="M168:N168"/>
    <mergeCell ref="M167:N167"/>
    <mergeCell ref="H161:H162"/>
    <mergeCell ref="O161:P162"/>
    <mergeCell ref="D162:F162"/>
    <mergeCell ref="A151:P151"/>
    <mergeCell ref="I158:L158"/>
    <mergeCell ref="F160:G160"/>
    <mergeCell ref="G147:P147"/>
    <mergeCell ref="F73:I73"/>
    <mergeCell ref="O73:P73"/>
    <mergeCell ref="I80:L82"/>
    <mergeCell ref="F74:G74"/>
    <mergeCell ref="H74:I74"/>
    <mergeCell ref="J74:K74"/>
    <mergeCell ref="L74:M74"/>
    <mergeCell ref="Q31:S41"/>
    <mergeCell ref="A76:B77"/>
    <mergeCell ref="C81:H81"/>
    <mergeCell ref="O39:P39"/>
    <mergeCell ref="L77:M7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$G$476:$G$538</formula1>
    </dataValidation>
  </dataValidations>
  <hyperlinks>
    <hyperlink ref="H354" r:id="rId1" xr:uid="{00000000-0004-0000-0C00-000000000000}"/>
  </hyperlinks>
  <printOptions horizontalCentered="1"/>
  <pageMargins left="0.25" right="0.25" top="0.7" bottom="0.4" header="0.5" footer="0.25"/>
  <pageSetup fitToHeight="0" orientation="landscape" r:id="rId2"/>
  <headerFooter>
    <oddHeader>&amp;LGeorgia Department of Community Affairs&amp;C2018 Funding Application&amp;RHousing Finance and Development Division</oddHeader>
    <oddFooter>&amp;L&amp;G &amp;F&amp;C&amp;A&amp;R&amp;P of &amp;N</oddFooter>
  </headerFooter>
  <rowBreaks count="13" manualBreakCount="13">
    <brk id="41" max="16383" man="1"/>
    <brk id="65" max="15" man="1"/>
    <brk id="93" max="15" man="1"/>
    <brk id="109" max="16383" man="1"/>
    <brk id="151" max="16383" man="1"/>
    <brk id="188" max="16383" man="1"/>
    <brk id="226" max="16383" man="1"/>
    <brk id="268" max="16383" man="1"/>
    <brk id="293" max="15" man="1"/>
    <brk id="336" max="15" man="1"/>
    <brk id="360" max="16383" man="1"/>
    <brk id="394" max="15" man="1"/>
    <brk id="412" max="15"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sqref="A1:XFD1048576"/>
    </sheetView>
  </sheetViews>
  <sheetFormatPr defaultColWidth="9.140625" defaultRowHeight="12.75"/>
  <cols>
    <col min="1" max="1" width="88.42578125" style="28" customWidth="1"/>
    <col min="2" max="16384" width="9.140625" style="28"/>
  </cols>
  <sheetData>
    <row r="1" spans="1:6" ht="15.75">
      <c r="A1" s="918" t="s">
        <v>4255</v>
      </c>
    </row>
    <row r="2" spans="1:6" s="34" customFormat="1" ht="13.5" customHeight="1">
      <c r="A2" s="917" t="str">
        <f>'Part I-Project Information'!$F$34</f>
        <v>Tindall Fields III</v>
      </c>
    </row>
    <row r="3" spans="1:6" s="34" customFormat="1" ht="13.5" customHeight="1">
      <c r="A3" s="917" t="str">
        <f>CONCATENATE('Part I-Project Information'!$F$38,", ", 'Part I-Project Information'!$J$39," County")</f>
        <v>Macon, Bibb County</v>
      </c>
    </row>
    <row r="4" spans="1:6" ht="6.75" customHeight="1"/>
    <row r="5" spans="1:6" ht="113.25" customHeight="1">
      <c r="A5" s="2432" t="s">
        <v>4256</v>
      </c>
      <c r="B5" s="3600" t="s">
        <v>4257</v>
      </c>
      <c r="C5" s="3600"/>
      <c r="D5" s="3600"/>
      <c r="E5" s="3600"/>
      <c r="F5" s="3600"/>
    </row>
    <row r="6" spans="1:6" ht="6.6" customHeight="1">
      <c r="A6" s="2432"/>
      <c r="B6" s="3600"/>
      <c r="C6" s="3600"/>
      <c r="D6" s="3600"/>
      <c r="E6" s="3600"/>
      <c r="F6" s="3600"/>
    </row>
    <row r="7" spans="1:6" ht="134.25" customHeight="1">
      <c r="A7" s="2432"/>
      <c r="B7" s="3600"/>
      <c r="C7" s="3600"/>
      <c r="D7" s="3600"/>
      <c r="E7" s="3600"/>
      <c r="F7" s="3600"/>
    </row>
    <row r="8" spans="1:6" ht="6.6" customHeight="1">
      <c r="A8" s="2432"/>
    </row>
    <row r="9" spans="1:6" ht="111" customHeight="1">
      <c r="A9" s="2432"/>
    </row>
    <row r="10" spans="1:6" ht="6.6" customHeight="1">
      <c r="A10" s="2432"/>
    </row>
    <row r="11" spans="1:6" ht="111" customHeight="1">
      <c r="A11" s="2432"/>
    </row>
    <row r="12" spans="1:6" ht="6.6" customHeight="1">
      <c r="A12" s="2432"/>
    </row>
    <row r="13" spans="1:6" ht="111" customHeight="1">
      <c r="A13" s="2432"/>
    </row>
    <row r="14" spans="1:6" ht="6.6" customHeight="1">
      <c r="A14" s="2432"/>
    </row>
    <row r="15" spans="1:6" ht="111" customHeight="1">
      <c r="A15" s="2432"/>
    </row>
    <row r="16" spans="1:6" ht="6.6" customHeight="1">
      <c r="A16" s="2432"/>
    </row>
    <row r="17" spans="1:1" ht="111" customHeight="1">
      <c r="A17" s="2432"/>
    </row>
    <row r="18" spans="1:1" ht="6.6" customHeight="1">
      <c r="A18" s="2432"/>
    </row>
    <row r="19" spans="1:1" ht="105.75" customHeight="1">
      <c r="A19" s="2432"/>
    </row>
    <row r="20" spans="1:1" ht="6.6" customHeight="1">
      <c r="A20" s="2432"/>
    </row>
    <row r="21" spans="1:1" ht="105.75" customHeight="1">
      <c r="A21" s="2432"/>
    </row>
    <row r="22" spans="1:1" ht="6.6" customHeight="1">
      <c r="A22" s="2432"/>
    </row>
    <row r="23" spans="1:1" ht="105.75" customHeight="1">
      <c r="A23" s="2432"/>
    </row>
    <row r="24" spans="1:1" ht="6.6" customHeight="1">
      <c r="A24" s="916"/>
    </row>
  </sheetData>
  <sheetProtection algorithmName="SHA-512" hashValue="95T68aCClLB0vFch+9ijRkfuAyx7/2+oyb+KqFZ+1sw5lgh/XVvUvuGAZQz7gM5yg4u/6JEr7a97ry0wAb2Ulw==" saltValue="cbFxl7xuJjnuuX510Hx3pA=="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1373" customWidth="1"/>
    <col min="2" max="11" width="10.5703125" style="1373" customWidth="1"/>
    <col min="12" max="12" width="9.7109375" style="1373" customWidth="1"/>
    <col min="13" max="21" width="10.5703125" style="1373" customWidth="1"/>
    <col min="22" max="16384" width="9.140625" style="1373"/>
  </cols>
  <sheetData>
    <row r="1" spans="1:7" ht="3" customHeight="1"/>
    <row r="2" spans="1:7">
      <c r="A2" s="1372" t="s">
        <v>4258</v>
      </c>
    </row>
    <row r="3" spans="1:7" ht="3" customHeight="1"/>
    <row r="4" spans="1:7">
      <c r="A4" s="1373" t="s">
        <v>4259</v>
      </c>
      <c r="B4" s="1374">
        <f>+'Part IV-A-Uses of Funds'!$G$132</f>
        <v>13639318</v>
      </c>
    </row>
    <row r="5" spans="1:7">
      <c r="A5" s="1373" t="s">
        <v>4290</v>
      </c>
      <c r="B5" s="1374">
        <f>+B18+B26+B38</f>
        <v>797970.2073463049</v>
      </c>
    </row>
    <row r="6" spans="1:7">
      <c r="A6" s="1373" t="s">
        <v>4260</v>
      </c>
      <c r="B6" s="1375">
        <f>+B5-B4</f>
        <v>-12841347.792653695</v>
      </c>
    </row>
    <row r="7" spans="1:7">
      <c r="A7" s="1373" t="s">
        <v>4261</v>
      </c>
      <c r="B7" s="1376">
        <f>+B6/B4</f>
        <v>-0.94149486012817463</v>
      </c>
    </row>
    <row r="8" spans="1:7" ht="9" customHeight="1"/>
    <row r="9" spans="1:7">
      <c r="A9" s="1373" t="s">
        <v>4262</v>
      </c>
      <c r="B9" s="1374">
        <f>+B18+B26+B33</f>
        <v>797970.2073463049</v>
      </c>
    </row>
    <row r="10" spans="1:7">
      <c r="A10" s="1373" t="s">
        <v>4260</v>
      </c>
      <c r="B10" s="1375">
        <f>+B9-B4</f>
        <v>-12841347.792653695</v>
      </c>
    </row>
    <row r="11" spans="1:7">
      <c r="A11" s="1373" t="s">
        <v>4261</v>
      </c>
      <c r="B11" s="1376">
        <f>+B10/B4</f>
        <v>-0.94149486012817463</v>
      </c>
    </row>
    <row r="12" spans="1:7" ht="24" customHeight="1"/>
    <row r="13" spans="1:7">
      <c r="A13" s="1372" t="s">
        <v>4263</v>
      </c>
      <c r="D13" s="1445" t="s">
        <v>4530</v>
      </c>
      <c r="E13" s="1446"/>
    </row>
    <row r="14" spans="1:7">
      <c r="A14" s="1373" t="s">
        <v>4264</v>
      </c>
      <c r="B14" s="1377">
        <f>+SUM('Part III-Sources of Funds'!L49:M50)</f>
        <v>12239318</v>
      </c>
      <c r="D14" s="1446"/>
      <c r="E14" s="1446"/>
    </row>
    <row r="15" spans="1:7">
      <c r="A15" s="1373" t="s">
        <v>4265</v>
      </c>
      <c r="B15" s="1378">
        <f>+'Part IV-A-Uses of Funds'!J167</f>
        <v>1223931.8</v>
      </c>
      <c r="D15" s="1446" t="s">
        <v>2061</v>
      </c>
      <c r="G15" s="1447">
        <f>'Part IV-A-Uses of Funds'!J155</f>
        <v>16992466.400000002</v>
      </c>
    </row>
    <row r="16" spans="1:7" ht="12.75" customHeight="1">
      <c r="D16" s="1446" t="s">
        <v>4531</v>
      </c>
      <c r="G16" s="1451">
        <v>3.2800000000000003E-2</v>
      </c>
    </row>
    <row r="17" spans="1:7" ht="12.75" customHeight="1">
      <c r="A17" s="1373" t="s">
        <v>4266</v>
      </c>
      <c r="B17" s="1450">
        <v>1.45</v>
      </c>
      <c r="D17" s="1446" t="s">
        <v>4532</v>
      </c>
      <c r="G17" s="1452">
        <v>1.45</v>
      </c>
    </row>
    <row r="18" spans="1:7" ht="12.75" customHeight="1">
      <c r="A18" s="1373" t="s">
        <v>4267</v>
      </c>
      <c r="B18" s="1379">
        <f>+'Part IV-A-Uses of Funds'!J174*B17*10</f>
        <v>0</v>
      </c>
      <c r="D18" s="1446" t="s">
        <v>4533</v>
      </c>
      <c r="G18" s="1452">
        <v>3.28</v>
      </c>
    </row>
    <row r="19" spans="1:7" ht="12.75" customHeight="1">
      <c r="D19" s="1446" t="s">
        <v>4534</v>
      </c>
      <c r="G19" s="1448">
        <f>+G15*G16*G17*10</f>
        <v>8081617.0198400021</v>
      </c>
    </row>
    <row r="20" spans="1:7">
      <c r="A20" s="1373" t="s">
        <v>4268</v>
      </c>
      <c r="B20" s="1377">
        <f>+B18-B14</f>
        <v>-12239318</v>
      </c>
      <c r="D20" s="1446" t="s">
        <v>4535</v>
      </c>
      <c r="G20" s="1449">
        <f>+B14-G19</f>
        <v>4157700.9801599979</v>
      </c>
    </row>
    <row r="21" spans="1:7">
      <c r="A21" s="1373" t="s">
        <v>4269</v>
      </c>
      <c r="B21" s="1376">
        <f>+B20/B14</f>
        <v>-1</v>
      </c>
      <c r="D21" s="1446" t="s">
        <v>4536</v>
      </c>
      <c r="G21" s="1446" t="str">
        <f>+IF(G20&gt;(B28+B35),"No","Yes")</f>
        <v>No</v>
      </c>
    </row>
    <row r="22" spans="1:7" ht="24" customHeight="1"/>
    <row r="23" spans="1:7">
      <c r="A23" s="1372" t="s">
        <v>4270</v>
      </c>
    </row>
    <row r="24" spans="1:7">
      <c r="A24" s="1373" t="s">
        <v>4271</v>
      </c>
      <c r="B24" s="1380">
        <f>+SUM('Part III-Sources of Funds'!I37:J40)</f>
        <v>1400000</v>
      </c>
    </row>
    <row r="25" spans="1:7">
      <c r="A25" s="1373" t="s">
        <v>4272</v>
      </c>
      <c r="B25" s="1381">
        <f>IF('Part III-Sources of Funds'!B11="Yes","N/A",MAX(B46:P46))</f>
        <v>-26739.181112108919</v>
      </c>
    </row>
    <row r="26" spans="1:7">
      <c r="A26" s="1373" t="s">
        <v>4273</v>
      </c>
      <c r="B26" s="1371">
        <f>IFERROR(PV('Part III-Sources of Funds'!K37,'Part III-Sources of Funds'!L37,B25+B45),B24)</f>
        <v>797970.2073463049</v>
      </c>
    </row>
    <row r="27" spans="1:7" ht="9" customHeight="1">
      <c r="B27" s="1371"/>
    </row>
    <row r="28" spans="1:7">
      <c r="A28" s="1373" t="s">
        <v>4274</v>
      </c>
      <c r="B28" s="1382">
        <f>+B26-B24</f>
        <v>-602029.7926536951</v>
      </c>
      <c r="C28" s="1383"/>
    </row>
    <row r="29" spans="1:7">
      <c r="A29" s="1373" t="s">
        <v>4269</v>
      </c>
      <c r="B29" s="1384">
        <f>+B28/B24</f>
        <v>-0.43002128046692506</v>
      </c>
    </row>
    <row r="30" spans="1:7" ht="24" customHeight="1"/>
    <row r="31" spans="1:7">
      <c r="A31" s="1372" t="s">
        <v>4127</v>
      </c>
    </row>
    <row r="32" spans="1:7">
      <c r="A32" s="1373" t="s">
        <v>4275</v>
      </c>
      <c r="B32" s="1385">
        <f>+'Part III-Sources of Funds'!I42</f>
        <v>0</v>
      </c>
    </row>
    <row r="33" spans="1:11">
      <c r="A33" s="1373" t="s">
        <v>4276</v>
      </c>
      <c r="B33" s="1371"/>
    </row>
    <row r="34" spans="1:11" ht="9" customHeight="1">
      <c r="B34" s="1371"/>
    </row>
    <row r="35" spans="1:11">
      <c r="A35" s="1373" t="s">
        <v>4277</v>
      </c>
      <c r="B35" s="1385">
        <f>+B33-B32</f>
        <v>0</v>
      </c>
    </row>
    <row r="36" spans="1:11">
      <c r="A36" s="1373" t="s">
        <v>4278</v>
      </c>
      <c r="B36" s="1370" t="e">
        <f>+B35/B32</f>
        <v>#DIV/0!</v>
      </c>
    </row>
    <row r="37" spans="1:11" ht="24" customHeight="1">
      <c r="B37" s="1371"/>
    </row>
    <row r="38" spans="1:11">
      <c r="A38" s="1372" t="s">
        <v>4279</v>
      </c>
      <c r="B38" s="1371">
        <f>+SUM('Part III-Sources of Funds'!I41,'Part III-Sources of Funds'!I47,'Part III-Sources of Funds'!I48,'Part III-Sources of Funds'!I51:I57)</f>
        <v>0</v>
      </c>
    </row>
    <row r="39" spans="1:11">
      <c r="B39" s="1371"/>
    </row>
    <row r="40" spans="1:11">
      <c r="B40" s="1371"/>
    </row>
    <row r="41" spans="1:11">
      <c r="B41" s="1371"/>
    </row>
    <row r="42" spans="1:11">
      <c r="A42" s="1372" t="s">
        <v>4280</v>
      </c>
      <c r="B42" s="1371"/>
    </row>
    <row r="43" spans="1:11">
      <c r="A43" s="1373" t="s">
        <v>2496</v>
      </c>
      <c r="B43" s="1453">
        <v>1</v>
      </c>
      <c r="C43" s="1453">
        <v>2</v>
      </c>
      <c r="D43" s="1453">
        <v>3</v>
      </c>
      <c r="E43" s="1453">
        <v>4</v>
      </c>
      <c r="F43" s="1453">
        <v>5</v>
      </c>
      <c r="G43" s="1453">
        <v>6</v>
      </c>
      <c r="H43" s="1453">
        <v>7</v>
      </c>
      <c r="I43" s="1453">
        <v>8</v>
      </c>
      <c r="J43" s="1453">
        <v>9</v>
      </c>
      <c r="K43" s="1453">
        <v>10</v>
      </c>
    </row>
    <row r="44" spans="1:11">
      <c r="A44" s="1373" t="s">
        <v>1215</v>
      </c>
      <c r="B44" s="1374">
        <f>+'Part VII-Pro Forma'!B22</f>
        <v>118769.40159999998</v>
      </c>
      <c r="C44" s="1374">
        <f>+'Part VII-Pro Forma'!C22</f>
        <v>117922.45963200003</v>
      </c>
      <c r="D44" s="1374">
        <f>+'Part VII-Pro Forma'!D22</f>
        <v>116962.30692463997</v>
      </c>
      <c r="E44" s="1374">
        <f>+'Part VII-Pro Forma'!E22</f>
        <v>115883.59330613275</v>
      </c>
      <c r="F44" s="1374">
        <f>+'Part VII-Pro Forma'!F22</f>
        <v>114680.80282254546</v>
      </c>
      <c r="G44" s="1374">
        <f>+'Part VII-Pro Forma'!G22</f>
        <v>113348.24805879511</v>
      </c>
      <c r="H44" s="1374">
        <f>+'Part VII-Pro Forma'!H22</f>
        <v>111880.06427516363</v>
      </c>
      <c r="I44" s="1374">
        <f>+'Part VII-Pro Forma'!I22</f>
        <v>110270.20335351527</v>
      </c>
      <c r="J44" s="1374">
        <f>+'Part VII-Pro Forma'!J22</f>
        <v>108513.42754721953</v>
      </c>
      <c r="K44" s="1374">
        <f>+'Part VII-Pro Forma'!K22</f>
        <v>106602.30302859691</v>
      </c>
    </row>
    <row r="45" spans="1:11">
      <c r="A45" s="1373" t="s">
        <v>4281</v>
      </c>
      <c r="B45" s="1374">
        <f>SUM('Part VII-Pro Forma'!B23:B26)</f>
        <v>-62096.071411721852</v>
      </c>
      <c r="C45" s="1374">
        <f>SUM('Part VII-Pro Forma'!C23:C26)</f>
        <v>-62096.071411721852</v>
      </c>
      <c r="D45" s="1374">
        <f>SUM('Part VII-Pro Forma'!D23:D26)</f>
        <v>-62096.071411721852</v>
      </c>
      <c r="E45" s="1374">
        <f>SUM('Part VII-Pro Forma'!E23:E26)</f>
        <v>-62096.071411721852</v>
      </c>
      <c r="F45" s="1374">
        <f>SUM('Part VII-Pro Forma'!F23:F26)</f>
        <v>-62096.071411721852</v>
      </c>
      <c r="G45" s="1374">
        <f>SUM('Part VII-Pro Forma'!G23:G26)</f>
        <v>-62096.071411721852</v>
      </c>
      <c r="H45" s="1374">
        <f>SUM('Part VII-Pro Forma'!H23:H26)</f>
        <v>-62096.071411721852</v>
      </c>
      <c r="I45" s="1374">
        <f>SUM('Part VII-Pro Forma'!I23:I26)</f>
        <v>-62096.071411721852</v>
      </c>
      <c r="J45" s="1374">
        <f>SUM('Part VII-Pro Forma'!J23:J26)</f>
        <v>-62096.071411721852</v>
      </c>
      <c r="K45" s="1374">
        <f>SUM('Part VII-Pro Forma'!K23:K26)</f>
        <v>-62096.071411721852</v>
      </c>
    </row>
    <row r="46" spans="1:11">
      <c r="A46" s="1373" t="s">
        <v>4282</v>
      </c>
      <c r="B46" s="1375">
        <f t="shared" ref="B46:K46" si="0">-B44/B48-B45</f>
        <v>-36878.429921611467</v>
      </c>
      <c r="C46" s="1375">
        <f t="shared" si="0"/>
        <v>-36172.644948278168</v>
      </c>
      <c r="D46" s="1375">
        <f t="shared" si="0"/>
        <v>-35372.517692144793</v>
      </c>
      <c r="E46" s="1375">
        <f t="shared" si="0"/>
        <v>-34473.589676722106</v>
      </c>
      <c r="F46" s="1375">
        <f t="shared" si="0"/>
        <v>-33471.264273732704</v>
      </c>
      <c r="G46" s="1375">
        <f t="shared" si="0"/>
        <v>-32360.801970607419</v>
      </c>
      <c r="H46" s="1375">
        <f t="shared" si="0"/>
        <v>-31137.315484247847</v>
      </c>
      <c r="I46" s="1375">
        <f t="shared" si="0"/>
        <v>-29795.764716207552</v>
      </c>
      <c r="J46" s="1375">
        <f t="shared" si="0"/>
        <v>-28331.784877627761</v>
      </c>
      <c r="K46" s="1375">
        <f t="shared" si="0"/>
        <v>-26739.181112108919</v>
      </c>
    </row>
    <row r="48" spans="1:11">
      <c r="A48" s="1373" t="s">
        <v>4283</v>
      </c>
      <c r="B48" s="1373">
        <f>IF(B82="NC",1.2,1.25)</f>
        <v>1.2</v>
      </c>
      <c r="C48" s="1373">
        <f>+B48</f>
        <v>1.2</v>
      </c>
      <c r="D48" s="1373">
        <f t="shared" ref="D48:K48" si="1">+C48</f>
        <v>1.2</v>
      </c>
      <c r="E48" s="1373">
        <f t="shared" si="1"/>
        <v>1.2</v>
      </c>
      <c r="F48" s="1373">
        <f t="shared" si="1"/>
        <v>1.2</v>
      </c>
      <c r="G48" s="1373">
        <f t="shared" si="1"/>
        <v>1.2</v>
      </c>
      <c r="H48" s="1373">
        <f t="shared" si="1"/>
        <v>1.2</v>
      </c>
      <c r="I48" s="1373">
        <f t="shared" si="1"/>
        <v>1.2</v>
      </c>
      <c r="J48" s="1373">
        <f t="shared" si="1"/>
        <v>1.2</v>
      </c>
      <c r="K48" s="1373">
        <f t="shared" si="1"/>
        <v>1.2</v>
      </c>
    </row>
    <row r="50" spans="1:17">
      <c r="A50" s="1372" t="s">
        <v>1175</v>
      </c>
    </row>
    <row r="51" spans="1:17">
      <c r="A51" s="1373" t="s">
        <v>1215</v>
      </c>
      <c r="B51" s="1375">
        <f>+B44</f>
        <v>118769.40159999998</v>
      </c>
      <c r="C51" s="1375">
        <f t="shared" ref="C51:K51" si="2">+C44</f>
        <v>117922.45963200003</v>
      </c>
      <c r="D51" s="1375">
        <f t="shared" si="2"/>
        <v>116962.30692463997</v>
      </c>
      <c r="E51" s="1375">
        <f t="shared" si="2"/>
        <v>115883.59330613275</v>
      </c>
      <c r="F51" s="1375">
        <f t="shared" si="2"/>
        <v>114680.80282254546</v>
      </c>
      <c r="G51" s="1375">
        <f t="shared" si="2"/>
        <v>113348.24805879511</v>
      </c>
      <c r="H51" s="1375">
        <f t="shared" si="2"/>
        <v>111880.06427516363</v>
      </c>
      <c r="I51" s="1375">
        <f t="shared" si="2"/>
        <v>110270.20335351527</v>
      </c>
      <c r="J51" s="1375">
        <f t="shared" si="2"/>
        <v>108513.42754721953</v>
      </c>
      <c r="K51" s="1375">
        <f t="shared" si="2"/>
        <v>106602.30302859691</v>
      </c>
    </row>
    <row r="52" spans="1:17">
      <c r="A52" s="1373" t="s">
        <v>4284</v>
      </c>
      <c r="B52" s="1375">
        <f>IF($B$25="N/A",B45,B45+$B$25)</f>
        <v>-88835.252523830772</v>
      </c>
      <c r="C52" s="1375">
        <f t="shared" ref="C52:K52" si="3">IF($B$25="N/A",C45,C45+$B$25)</f>
        <v>-88835.252523830772</v>
      </c>
      <c r="D52" s="1375">
        <f t="shared" si="3"/>
        <v>-88835.252523830772</v>
      </c>
      <c r="E52" s="1375">
        <f t="shared" si="3"/>
        <v>-88835.252523830772</v>
      </c>
      <c r="F52" s="1375">
        <f t="shared" si="3"/>
        <v>-88835.252523830772</v>
      </c>
      <c r="G52" s="1375">
        <f t="shared" si="3"/>
        <v>-88835.252523830772</v>
      </c>
      <c r="H52" s="1375">
        <f t="shared" si="3"/>
        <v>-88835.252523830772</v>
      </c>
      <c r="I52" s="1375">
        <f t="shared" si="3"/>
        <v>-88835.252523830772</v>
      </c>
      <c r="J52" s="1375">
        <f t="shared" si="3"/>
        <v>-88835.252523830772</v>
      </c>
      <c r="K52" s="1375">
        <f t="shared" si="3"/>
        <v>-88835.252523830772</v>
      </c>
    </row>
    <row r="53" spans="1:17">
      <c r="A53" s="1373" t="s">
        <v>4285</v>
      </c>
      <c r="B53" s="1374">
        <f>+'Part VII-Pro Forma'!B28</f>
        <v>-12500</v>
      </c>
      <c r="C53" s="1374">
        <f>+'Part VII-Pro Forma'!C28</f>
        <v>-12500</v>
      </c>
      <c r="D53" s="1374">
        <f>+'Part VII-Pro Forma'!D28</f>
        <v>-12500</v>
      </c>
      <c r="E53" s="1374">
        <f>+'Part VII-Pro Forma'!E28</f>
        <v>-12500</v>
      </c>
      <c r="F53" s="1374">
        <f>+'Part VII-Pro Forma'!F28</f>
        <v>-12500</v>
      </c>
      <c r="G53" s="1374">
        <f>+'Part VII-Pro Forma'!G28</f>
        <v>-12500</v>
      </c>
      <c r="H53" s="1374">
        <f>+'Part VII-Pro Forma'!H28</f>
        <v>-12500</v>
      </c>
      <c r="I53" s="1374">
        <f>+'Part VII-Pro Forma'!I28</f>
        <v>-12500</v>
      </c>
      <c r="J53" s="1374">
        <f>+'Part VII-Pro Forma'!J28</f>
        <v>-12500</v>
      </c>
      <c r="K53" s="1374">
        <f>+'Part VII-Pro Forma'!K28</f>
        <v>-12500</v>
      </c>
    </row>
    <row r="54" spans="1:17">
      <c r="A54" s="1373" t="s">
        <v>4286</v>
      </c>
      <c r="B54" s="1375">
        <f>+SUM(B51:B53)</f>
        <v>17434.149076169211</v>
      </c>
      <c r="C54" s="1375">
        <f t="shared" ref="C54:K54" si="4">+SUM(C51:C53)</f>
        <v>16587.207108169256</v>
      </c>
      <c r="D54" s="1375">
        <f t="shared" si="4"/>
        <v>15627.054400809197</v>
      </c>
      <c r="E54" s="1375">
        <f t="shared" si="4"/>
        <v>14548.340782301981</v>
      </c>
      <c r="F54" s="1375">
        <f t="shared" si="4"/>
        <v>13345.55029871469</v>
      </c>
      <c r="G54" s="1375">
        <f t="shared" si="4"/>
        <v>12012.995534964342</v>
      </c>
      <c r="H54" s="1375">
        <f t="shared" si="4"/>
        <v>10544.811751332862</v>
      </c>
      <c r="I54" s="1375">
        <f t="shared" si="4"/>
        <v>8934.9508296845015</v>
      </c>
      <c r="J54" s="1375">
        <f t="shared" si="4"/>
        <v>7178.1750233887578</v>
      </c>
      <c r="K54" s="1375">
        <f t="shared" si="4"/>
        <v>5267.0505047661427</v>
      </c>
    </row>
    <row r="55" spans="1:17">
      <c r="A55" s="1373" t="s">
        <v>4127</v>
      </c>
      <c r="B55" s="1375">
        <f>-B54</f>
        <v>-17434.149076169211</v>
      </c>
      <c r="C55" s="1375">
        <f t="shared" ref="C55:K55" si="5">-C54</f>
        <v>-16587.207108169256</v>
      </c>
      <c r="D55" s="1375">
        <f t="shared" si="5"/>
        <v>-15627.054400809197</v>
      </c>
      <c r="E55" s="1375">
        <f t="shared" si="5"/>
        <v>-14548.340782301981</v>
      </c>
      <c r="F55" s="1375">
        <f t="shared" si="5"/>
        <v>-13345.55029871469</v>
      </c>
      <c r="G55" s="1375">
        <f t="shared" si="5"/>
        <v>-12012.995534964342</v>
      </c>
      <c r="H55" s="1375">
        <f t="shared" si="5"/>
        <v>-10544.811751332862</v>
      </c>
      <c r="I55" s="1375">
        <f t="shared" si="5"/>
        <v>-8934.9508296845015</v>
      </c>
      <c r="J55" s="1375">
        <f t="shared" si="5"/>
        <v>-7178.1750233887578</v>
      </c>
      <c r="K55" s="1375">
        <f t="shared" si="5"/>
        <v>-5267.0505047661427</v>
      </c>
    </row>
    <row r="56" spans="1:17">
      <c r="A56" s="1373" t="s">
        <v>4287</v>
      </c>
      <c r="B56" s="1375">
        <f>+B54+B55</f>
        <v>0</v>
      </c>
      <c r="C56" s="1375">
        <f t="shared" ref="C56:K56" si="6">+C54+C55</f>
        <v>0</v>
      </c>
      <c r="D56" s="1375">
        <f t="shared" si="6"/>
        <v>0</v>
      </c>
      <c r="E56" s="1375">
        <f t="shared" si="6"/>
        <v>0</v>
      </c>
      <c r="F56" s="1375">
        <f t="shared" si="6"/>
        <v>0</v>
      </c>
      <c r="G56" s="1375">
        <f t="shared" si="6"/>
        <v>0</v>
      </c>
      <c r="H56" s="1375">
        <f t="shared" si="6"/>
        <v>0</v>
      </c>
      <c r="I56" s="1375">
        <f t="shared" si="6"/>
        <v>0</v>
      </c>
      <c r="J56" s="1375">
        <f t="shared" si="6"/>
        <v>0</v>
      </c>
      <c r="K56" s="1375">
        <f t="shared" si="6"/>
        <v>0</v>
      </c>
    </row>
    <row r="58" spans="1:17">
      <c r="A58" s="1373" t="s">
        <v>4288</v>
      </c>
      <c r="B58" s="1374">
        <f>IF($B$26="","",-FV('Part III-Sources of Funds'!$K$37/12,12,B52/12,B26))</f>
        <v>724422.60513477214</v>
      </c>
      <c r="C58" s="1374">
        <f>IF($B$26="","",-FV('Part III-Sources of Funds'!$K$37/12,12,C52/12,B58))</f>
        <v>649390.49196068011</v>
      </c>
      <c r="D58" s="1374">
        <f>IF($B$26="","",-FV('Part III-Sources of Funds'!$K$37/12,12,D52/12,C58))</f>
        <v>572843.9039267475</v>
      </c>
      <c r="E58" s="1374">
        <f>IF($B$26="","",-FV('Part III-Sources of Funds'!$K$37/12,12,E52/12,D58))</f>
        <v>494752.27233373263</v>
      </c>
      <c r="F58" s="1374">
        <f>IF($B$26="","",-FV('Part III-Sources of Funds'!$K$37/12,12,F52/12,E58))</f>
        <v>415084.41147289559</v>
      </c>
      <c r="G58" s="1374">
        <f>IF($B$26="","",-FV('Part III-Sources of Funds'!$K$37/12,12,G52/12,F58))</f>
        <v>333808.50617205899</v>
      </c>
      <c r="H58" s="1374">
        <f>IF($B$26="","",-FV('Part III-Sources of Funds'!$K$37/12,12,H52/12,G58))</f>
        <v>250892.09909029421</v>
      </c>
      <c r="I58" s="1374">
        <f>IF($B$26="","",-FV('Part III-Sources of Funds'!$K$37/12,12,I52/12,H58))</f>
        <v>166302.07775615889</v>
      </c>
      <c r="J58" s="1374">
        <f>IF($B$26="","",-FV('Part III-Sources of Funds'!$K$37/12,12,J52/12,I58))</f>
        <v>80004.661344309527</v>
      </c>
      <c r="K58" s="1374">
        <f>IF($B$26="","",-FV('Part III-Sources of Funds'!$K$37/12,12,K52/12,J58))</f>
        <v>-8034.6128147912823</v>
      </c>
    </row>
    <row r="59" spans="1:17">
      <c r="A59" s="1373" t="s">
        <v>4128</v>
      </c>
      <c r="B59" s="1374" t="str">
        <f>IF(B33="","",-FV('Part III-Sources of Funds'!$K$42/12,12,B55/12,B33))</f>
        <v/>
      </c>
      <c r="C59" s="1374" t="str">
        <f>IF($B$33="","",-FV('Part III-Sources of Funds'!$K$42/12,12,C55/12,B59))</f>
        <v/>
      </c>
      <c r="D59" s="1374" t="str">
        <f>IF($B$33="","",-FV('Part III-Sources of Funds'!$K$42/12,12,D55/12,C59))</f>
        <v/>
      </c>
      <c r="E59" s="1374" t="str">
        <f>IF($B$33="","",-FV('Part III-Sources of Funds'!$K$42/12,12,E55/12,D59))</f>
        <v/>
      </c>
      <c r="F59" s="1374" t="str">
        <f>IF($B$33="","",-FV('Part III-Sources of Funds'!$K$42/12,12,F55/12,E59))</f>
        <v/>
      </c>
      <c r="G59" s="1374" t="str">
        <f>IF($B$33="","",-FV('Part III-Sources of Funds'!$K$42/12,12,G55/12,F59))</f>
        <v/>
      </c>
      <c r="H59" s="1374" t="str">
        <f>IF($B$33="","",-FV('Part III-Sources of Funds'!$K$42/12,12,H55/12,G59))</f>
        <v/>
      </c>
      <c r="I59" s="1374" t="str">
        <f>IF($B$33="","",-FV('Part III-Sources of Funds'!$K$42/12,12,I55/12,H59))</f>
        <v/>
      </c>
      <c r="J59" s="1374" t="str">
        <f>IF($B$33="","",-FV('Part III-Sources of Funds'!$K$42/12,12,J55/12,I59))</f>
        <v/>
      </c>
      <c r="K59" s="1374" t="str">
        <f>IF($B$33="","",-FV('Part III-Sources of Funds'!$K$42/12,12,K55/12,J59))</f>
        <v/>
      </c>
      <c r="L59" s="1374" t="str">
        <f>IF($B$33="","",-FV('Part III-Sources of Funds'!$K$42/12,12,B75/12,K59))</f>
        <v/>
      </c>
      <c r="M59" s="1374" t="str">
        <f>IF($B$33="","",-FV('Part III-Sources of Funds'!$K$42/12,12,C75/12,L59))</f>
        <v/>
      </c>
      <c r="N59" s="1374" t="str">
        <f>IF($B$33="","",-FV('Part III-Sources of Funds'!$K$42/12,12,D75/12,M59))</f>
        <v/>
      </c>
      <c r="O59" s="1374" t="str">
        <f>IF($B$33="","",-FV('Part III-Sources of Funds'!$K$42/12,12,E75/12,N59))</f>
        <v/>
      </c>
      <c r="P59" s="1374" t="str">
        <f>IF($B$33="","",-FV('Part III-Sources of Funds'!$K$42/12,12,F75/12,O59))</f>
        <v/>
      </c>
      <c r="Q59" s="1374"/>
    </row>
    <row r="60" spans="1:17" ht="18.75" customHeight="1"/>
    <row r="61" spans="1:17" ht="18.75" customHeight="1"/>
    <row r="62" spans="1:17">
      <c r="A62" s="1372" t="s">
        <v>4280</v>
      </c>
    </row>
    <row r="63" spans="1:17">
      <c r="A63" s="1373" t="s">
        <v>2496</v>
      </c>
      <c r="B63" s="1453">
        <v>11</v>
      </c>
      <c r="C63" s="1453">
        <v>12</v>
      </c>
      <c r="D63" s="1453">
        <v>13</v>
      </c>
      <c r="E63" s="1453">
        <v>14</v>
      </c>
      <c r="F63" s="1453">
        <v>15</v>
      </c>
      <c r="G63" s="1453">
        <v>16</v>
      </c>
      <c r="H63" s="1453">
        <v>17</v>
      </c>
      <c r="I63" s="1453">
        <v>18</v>
      </c>
      <c r="J63" s="1453">
        <v>19</v>
      </c>
      <c r="K63" s="1453">
        <v>20</v>
      </c>
    </row>
    <row r="64" spans="1:17">
      <c r="A64" s="1373" t="s">
        <v>1215</v>
      </c>
      <c r="B64" s="1374">
        <f>+'Part VII-Pro Forma'!B52</f>
        <v>104530.19322751477</v>
      </c>
      <c r="C64" s="1374">
        <f>+'Part VII-Pro Forma'!C52</f>
        <v>102291.25195456117</v>
      </c>
      <c r="D64" s="1374">
        <f>+'Part VII-Pro Forma'!D52</f>
        <v>99876.416302023819</v>
      </c>
      <c r="E64" s="1374">
        <f>+'Part VII-Pro Forma'!E52</f>
        <v>97280.399315686445</v>
      </c>
      <c r="F64" s="1374">
        <f>+'Part VII-Pro Forma'!F52</f>
        <v>94494.68243025121</v>
      </c>
      <c r="G64" s="1374">
        <f>+'Part VII-Pro Forma'!G52</f>
        <v>91511.507660954492</v>
      </c>
      <c r="H64" s="1374">
        <f>+'Part VII-Pro Forma'!H52</f>
        <v>88321.869543735229</v>
      </c>
      <c r="I64" s="1374">
        <f>+'Part VII-Pro Forma'!I52</f>
        <v>84917.506816058318</v>
      </c>
      <c r="J64" s="1374">
        <f>+'Part VII-Pro Forma'!J52</f>
        <v>81290.893830271001</v>
      </c>
      <c r="K64" s="1374">
        <f>+'Part VII-Pro Forma'!K52</f>
        <v>77431.231691105029</v>
      </c>
    </row>
    <row r="65" spans="1:11">
      <c r="A65" s="1373" t="s">
        <v>4281</v>
      </c>
      <c r="B65" s="1374">
        <f>SUM('Part VII-Pro Forma'!B53:B56)</f>
        <v>-62096.071411721852</v>
      </c>
      <c r="C65" s="1374">
        <f>SUM('Part VII-Pro Forma'!C53:C56)</f>
        <v>-62096.071411721852</v>
      </c>
      <c r="D65" s="1374">
        <f>SUM('Part VII-Pro Forma'!D53:D56)</f>
        <v>-62096.071411721852</v>
      </c>
      <c r="E65" s="1374">
        <f>SUM('Part VII-Pro Forma'!E53:E56)</f>
        <v>-62096.071411721852</v>
      </c>
      <c r="F65" s="1374">
        <f>SUM('Part VII-Pro Forma'!F53:F56)</f>
        <v>-62096.071411721852</v>
      </c>
      <c r="G65" s="1374">
        <f>SUM('Part VII-Pro Forma'!G53:G56)</f>
        <v>-62096.071411721852</v>
      </c>
      <c r="H65" s="1374">
        <f>SUM('Part VII-Pro Forma'!H53:H56)</f>
        <v>-62096.071411721852</v>
      </c>
      <c r="I65" s="1374">
        <f>SUM('Part VII-Pro Forma'!I53:I56)</f>
        <v>-62096.071411721852</v>
      </c>
      <c r="J65" s="1374">
        <f>SUM('Part VII-Pro Forma'!J53:J56)</f>
        <v>-62096.071411721852</v>
      </c>
      <c r="K65" s="1374">
        <f>SUM('Part VII-Pro Forma'!K53:K56)</f>
        <v>-62096.071411721852</v>
      </c>
    </row>
    <row r="66" spans="1:11">
      <c r="A66" s="1373" t="s">
        <v>4282</v>
      </c>
      <c r="B66" s="1375">
        <f t="shared" ref="B66:K66" si="7">-B64/B68-B65</f>
        <v>-25012.422944540456</v>
      </c>
      <c r="C66" s="1375">
        <f t="shared" si="7"/>
        <v>-23146.638550412456</v>
      </c>
      <c r="D66" s="1375">
        <f t="shared" si="7"/>
        <v>-21134.275506631333</v>
      </c>
      <c r="E66" s="1375">
        <f t="shared" si="7"/>
        <v>-18970.92801801685</v>
      </c>
      <c r="F66" s="1375">
        <f t="shared" si="7"/>
        <v>-16649.497280154166</v>
      </c>
      <c r="G66" s="1375">
        <f t="shared" si="7"/>
        <v>-14163.518305740225</v>
      </c>
      <c r="H66" s="1375">
        <f t="shared" si="7"/>
        <v>-11505.486541390848</v>
      </c>
      <c r="I66" s="1375">
        <f t="shared" si="7"/>
        <v>-8668.5176016600817</v>
      </c>
      <c r="J66" s="1375">
        <f t="shared" si="7"/>
        <v>-5646.3401135039821</v>
      </c>
      <c r="K66" s="1375">
        <f t="shared" si="7"/>
        <v>-2429.9549975323389</v>
      </c>
    </row>
    <row r="68" spans="1:11">
      <c r="A68" s="1373" t="s">
        <v>4283</v>
      </c>
      <c r="B68" s="1373">
        <f>+K48</f>
        <v>1.2</v>
      </c>
      <c r="C68" s="1373">
        <f t="shared" ref="C68:K68" si="8">+B68</f>
        <v>1.2</v>
      </c>
      <c r="D68" s="1373">
        <f t="shared" si="8"/>
        <v>1.2</v>
      </c>
      <c r="E68" s="1373">
        <f t="shared" si="8"/>
        <v>1.2</v>
      </c>
      <c r="F68" s="1373">
        <f t="shared" si="8"/>
        <v>1.2</v>
      </c>
      <c r="G68" s="1373">
        <f t="shared" si="8"/>
        <v>1.2</v>
      </c>
      <c r="H68" s="1373">
        <f t="shared" si="8"/>
        <v>1.2</v>
      </c>
      <c r="I68" s="1373">
        <f t="shared" si="8"/>
        <v>1.2</v>
      </c>
      <c r="J68" s="1373">
        <f t="shared" si="8"/>
        <v>1.2</v>
      </c>
      <c r="K68" s="1373">
        <f t="shared" si="8"/>
        <v>1.2</v>
      </c>
    </row>
    <row r="70" spans="1:11">
      <c r="A70" s="1372" t="s">
        <v>1175</v>
      </c>
    </row>
    <row r="71" spans="1:11">
      <c r="A71" s="1373" t="s">
        <v>1215</v>
      </c>
      <c r="B71" s="1375">
        <f t="shared" ref="B71:G71" si="9">+B64</f>
        <v>104530.19322751477</v>
      </c>
      <c r="C71" s="1375">
        <f t="shared" si="9"/>
        <v>102291.25195456117</v>
      </c>
      <c r="D71" s="1375">
        <f t="shared" si="9"/>
        <v>99876.416302023819</v>
      </c>
      <c r="E71" s="1375">
        <f t="shared" si="9"/>
        <v>97280.399315686445</v>
      </c>
      <c r="F71" s="1375">
        <f t="shared" si="9"/>
        <v>94494.68243025121</v>
      </c>
      <c r="G71" s="1375">
        <f t="shared" si="9"/>
        <v>91511.507660954492</v>
      </c>
      <c r="H71" s="1375">
        <f t="shared" ref="H71:K71" si="10">+H64</f>
        <v>88321.869543735229</v>
      </c>
      <c r="I71" s="1375">
        <f t="shared" si="10"/>
        <v>84917.506816058318</v>
      </c>
      <c r="J71" s="1375">
        <f t="shared" si="10"/>
        <v>81290.893830271001</v>
      </c>
      <c r="K71" s="1375">
        <f t="shared" si="10"/>
        <v>77431.231691105029</v>
      </c>
    </row>
    <row r="72" spans="1:11">
      <c r="A72" s="1373" t="s">
        <v>4284</v>
      </c>
      <c r="B72" s="1375">
        <f t="shared" ref="B72:G72" si="11">IF($B$25="N/A",B65,B65+$B$25)</f>
        <v>-88835.252523830772</v>
      </c>
      <c r="C72" s="1375">
        <f t="shared" si="11"/>
        <v>-88835.252523830772</v>
      </c>
      <c r="D72" s="1375">
        <f t="shared" si="11"/>
        <v>-88835.252523830772</v>
      </c>
      <c r="E72" s="1375">
        <f t="shared" si="11"/>
        <v>-88835.252523830772</v>
      </c>
      <c r="F72" s="1375">
        <f t="shared" si="11"/>
        <v>-88835.252523830772</v>
      </c>
      <c r="G72" s="1375">
        <f t="shared" si="11"/>
        <v>-88835.252523830772</v>
      </c>
      <c r="H72" s="1375">
        <f t="shared" ref="H72:K72" si="12">IF($B$25="N/A",H65,H65+$B$25)</f>
        <v>-88835.252523830772</v>
      </c>
      <c r="I72" s="1375">
        <f t="shared" si="12"/>
        <v>-88835.252523830772</v>
      </c>
      <c r="J72" s="1375">
        <f t="shared" si="12"/>
        <v>-88835.252523830772</v>
      </c>
      <c r="K72" s="1375">
        <f t="shared" si="12"/>
        <v>-88835.252523830772</v>
      </c>
    </row>
    <row r="73" spans="1:11">
      <c r="A73" s="1373" t="s">
        <v>4285</v>
      </c>
      <c r="B73" s="1374">
        <f>+'Part VII-Pro Forma'!B58</f>
        <v>-12500</v>
      </c>
      <c r="C73" s="1374">
        <f>+'Part VII-Pro Forma'!C58</f>
        <v>-12500</v>
      </c>
      <c r="D73" s="1374">
        <f>+'Part VII-Pro Forma'!D58</f>
        <v>-12500</v>
      </c>
      <c r="E73" s="1374">
        <f>+'Part VII-Pro Forma'!E58</f>
        <v>-12500</v>
      </c>
      <c r="F73" s="1374">
        <f>+'Part VII-Pro Forma'!F58</f>
        <v>-12500</v>
      </c>
      <c r="G73" s="1374">
        <f>+'Part VII-Pro Forma'!G58</f>
        <v>-12500</v>
      </c>
      <c r="H73" s="1374">
        <f>+'Part VII-Pro Forma'!H58</f>
        <v>-12500</v>
      </c>
      <c r="I73" s="1374">
        <f>+'Part VII-Pro Forma'!I58</f>
        <v>-12500</v>
      </c>
      <c r="J73" s="1374">
        <f>+'Part VII-Pro Forma'!J58</f>
        <v>-12500</v>
      </c>
      <c r="K73" s="1374">
        <f>+'Part VII-Pro Forma'!K58</f>
        <v>-12500</v>
      </c>
    </row>
    <row r="74" spans="1:11">
      <c r="A74" s="1373" t="s">
        <v>4286</v>
      </c>
      <c r="B74" s="1375">
        <f t="shared" ref="B74:G74" si="13">+SUM(B71:B73)</f>
        <v>3194.9407036839984</v>
      </c>
      <c r="C74" s="1375">
        <f t="shared" si="13"/>
        <v>955.99943073040049</v>
      </c>
      <c r="D74" s="1375">
        <f t="shared" si="13"/>
        <v>-1458.8362218069524</v>
      </c>
      <c r="E74" s="1375">
        <f t="shared" si="13"/>
        <v>-4054.8532081443263</v>
      </c>
      <c r="F74" s="1375">
        <f t="shared" si="13"/>
        <v>-6840.5700935795612</v>
      </c>
      <c r="G74" s="1375">
        <f t="shared" si="13"/>
        <v>-9823.7448628762795</v>
      </c>
      <c r="H74" s="1375">
        <f t="shared" ref="H74:K74" si="14">+SUM(H71:H73)</f>
        <v>-13013.382980095543</v>
      </c>
      <c r="I74" s="1375">
        <f t="shared" si="14"/>
        <v>-16417.745707772454</v>
      </c>
      <c r="J74" s="1375">
        <f t="shared" si="14"/>
        <v>-20044.35869355977</v>
      </c>
      <c r="K74" s="1375">
        <f t="shared" si="14"/>
        <v>-23904.020832725742</v>
      </c>
    </row>
    <row r="75" spans="1:11">
      <c r="A75" s="1373" t="s">
        <v>4127</v>
      </c>
      <c r="B75" s="1375">
        <f t="shared" ref="B75:G75" si="15">-B74</f>
        <v>-3194.9407036839984</v>
      </c>
      <c r="C75" s="1375">
        <f t="shared" si="15"/>
        <v>-955.99943073040049</v>
      </c>
      <c r="D75" s="1375">
        <f t="shared" si="15"/>
        <v>1458.8362218069524</v>
      </c>
      <c r="E75" s="1375">
        <f t="shared" si="15"/>
        <v>4054.8532081443263</v>
      </c>
      <c r="F75" s="1375">
        <f t="shared" si="15"/>
        <v>6840.5700935795612</v>
      </c>
      <c r="G75" s="1375">
        <f t="shared" si="15"/>
        <v>9823.7448628762795</v>
      </c>
      <c r="H75" s="1375">
        <f t="shared" ref="H75:K75" si="16">-H74</f>
        <v>13013.382980095543</v>
      </c>
      <c r="I75" s="1375">
        <f t="shared" si="16"/>
        <v>16417.745707772454</v>
      </c>
      <c r="J75" s="1375">
        <f t="shared" si="16"/>
        <v>20044.35869355977</v>
      </c>
      <c r="K75" s="1375">
        <f t="shared" si="16"/>
        <v>23904.020832725742</v>
      </c>
    </row>
    <row r="76" spans="1:11">
      <c r="A76" s="1373" t="s">
        <v>4287</v>
      </c>
      <c r="B76" s="1375">
        <f t="shared" ref="B76:G76" si="17">+B74+B75</f>
        <v>0</v>
      </c>
      <c r="C76" s="1375">
        <f t="shared" si="17"/>
        <v>0</v>
      </c>
      <c r="D76" s="1375">
        <f t="shared" si="17"/>
        <v>0</v>
      </c>
      <c r="E76" s="1375">
        <f t="shared" si="17"/>
        <v>0</v>
      </c>
      <c r="F76" s="1375">
        <f t="shared" si="17"/>
        <v>0</v>
      </c>
      <c r="G76" s="1375">
        <f t="shared" si="17"/>
        <v>0</v>
      </c>
      <c r="H76" s="1375">
        <f t="shared" ref="H76:K76" si="18">+H74+H75</f>
        <v>0</v>
      </c>
      <c r="I76" s="1375">
        <f t="shared" si="18"/>
        <v>0</v>
      </c>
      <c r="J76" s="1375">
        <f t="shared" si="18"/>
        <v>0</v>
      </c>
      <c r="K76" s="1375">
        <f t="shared" si="18"/>
        <v>0</v>
      </c>
    </row>
    <row r="78" spans="1:11">
      <c r="A78" s="1373" t="s">
        <v>4288</v>
      </c>
      <c r="B78" s="1374">
        <f>IF($B$26="","",-FV('Part III-Sources of Funds'!$K$37/12,12,B72/12,K58))</f>
        <v>-97850.902997460653</v>
      </c>
      <c r="C78" s="1374">
        <f>IF($B$26="","",-FV('Part III-Sources of Funds'!$K$37/12,12,C72/12,B78))</f>
        <v>-189480.07712717002</v>
      </c>
      <c r="D78" s="1374">
        <f>IF($B$26="","",-FV('Part III-Sources of Funds'!$K$37/12,12,D72/12,C78))</f>
        <v>-282958.72709831572</v>
      </c>
      <c r="E78" s="1374">
        <f>IF($B$26="","",-FV('Part III-Sources of Funds'!$K$37/12,12,E72/12,D78))</f>
        <v>-378324.18338910566</v>
      </c>
      <c r="F78" s="1374">
        <f>IF($B$26="","",-FV('Part III-Sources of Funds'!$K$37/12,12,F72/12,E78))</f>
        <v>-475614.52996939764</v>
      </c>
      <c r="G78" s="1374">
        <f>IF($B$26="","",-FV('Part III-Sources of Funds'!$K$37/12,12,G72/12,F78))</f>
        <v>-574868.61950944283</v>
      </c>
      <c r="H78" s="1374">
        <f>IF($B$26="","",-FV('Part III-Sources of Funds'!$K$37/12,12,H72/12,G78))</f>
        <v>-676126.08889560797</v>
      </c>
      <c r="I78" s="1374">
        <f>IF($B$26="","",-FV('Part III-Sources of Funds'!$K$37/12,12,I72/12,H78))</f>
        <v>-779427.37505927228</v>
      </c>
      <c r="J78" s="1374">
        <f>IF($B$26="","",-FV('Part III-Sources of Funds'!$K$37/12,12,J72/12,I78))</f>
        <v>-884813.73112522066</v>
      </c>
      <c r="K78" s="1374">
        <f>IF($B$26="","",-FV('Part III-Sources of Funds'!$K$37/12,12,K72/12,J78))</f>
        <v>-992327.24288598145</v>
      </c>
    </row>
    <row r="79" spans="1:11">
      <c r="A79" s="1373" t="s">
        <v>4128</v>
      </c>
    </row>
    <row r="82" spans="1:2">
      <c r="A82" s="1373" t="s">
        <v>4289</v>
      </c>
      <c r="B82" s="1450"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86" customWidth="1"/>
    <col min="4" max="4" width="15.42578125" style="686" customWidth="1"/>
    <col min="5" max="5" width="4.7109375" style="686" customWidth="1"/>
    <col min="6" max="9" width="12.7109375" style="686" customWidth="1"/>
    <col min="10" max="10" width="5.140625" style="686" customWidth="1"/>
    <col min="11" max="16384" width="9.140625" style="686"/>
  </cols>
  <sheetData>
    <row r="1" spans="1:11" ht="15.75">
      <c r="A1" s="3602" t="s">
        <v>2934</v>
      </c>
      <c r="B1" s="3602"/>
      <c r="C1" s="3602"/>
      <c r="D1" s="3602"/>
      <c r="E1" s="3602"/>
      <c r="F1" s="3602"/>
      <c r="G1" s="3602"/>
      <c r="H1" s="3602"/>
      <c r="I1" s="3602"/>
      <c r="J1" s="3602"/>
    </row>
    <row r="2" spans="1:11" ht="15.75">
      <c r="A2" s="3602" t="str">
        <f>Overview!C8</f>
        <v>Tindall Fields III</v>
      </c>
      <c r="B2" s="3602"/>
      <c r="C2" s="3602"/>
      <c r="D2" s="3602"/>
      <c r="E2" s="3602"/>
      <c r="F2" s="3602"/>
      <c r="G2" s="3602"/>
      <c r="H2" s="3602"/>
      <c r="I2" s="3602"/>
      <c r="J2" s="3602"/>
    </row>
    <row r="3" spans="1:11" ht="15.75">
      <c r="A3" s="3602" t="str">
        <f>'Subsidy Layering Memo'!F14</f>
        <v>Macon, Bibb</v>
      </c>
      <c r="B3" s="3602"/>
      <c r="C3" s="3602"/>
      <c r="D3" s="3602"/>
      <c r="E3" s="3602"/>
      <c r="F3" s="3602"/>
      <c r="G3" s="3602"/>
      <c r="H3" s="3602"/>
      <c r="I3" s="3602"/>
      <c r="J3" s="3602"/>
    </row>
    <row r="4" spans="1:11" ht="15.75">
      <c r="A4" s="3603" t="s">
        <v>2935</v>
      </c>
      <c r="B4" s="3602"/>
      <c r="C4" s="3602"/>
      <c r="D4" s="3602"/>
      <c r="E4" s="3602"/>
      <c r="F4" s="3602"/>
      <c r="G4" s="3602"/>
      <c r="H4" s="3602"/>
      <c r="I4" s="3602"/>
      <c r="J4" s="3602"/>
    </row>
    <row r="5" spans="1:11" ht="5.25" customHeight="1"/>
    <row r="6" spans="1:11" ht="5.25" customHeight="1"/>
    <row r="7" spans="1:11" ht="15.75">
      <c r="A7" s="3604" t="s">
        <v>2936</v>
      </c>
      <c r="B7" s="3604"/>
      <c r="C7" s="3605"/>
    </row>
    <row r="8" spans="1:11" ht="102.75" customHeight="1">
      <c r="A8" s="3601" t="s">
        <v>4291</v>
      </c>
      <c r="B8" s="3601"/>
      <c r="C8" s="3601"/>
      <c r="D8" s="3601"/>
      <c r="E8" s="3601"/>
      <c r="F8" s="3601"/>
      <c r="G8" s="3601"/>
      <c r="H8" s="3601"/>
      <c r="I8" s="3601"/>
      <c r="J8" s="3601"/>
      <c r="K8" s="687"/>
    </row>
    <row r="9" spans="1:11" ht="15.75">
      <c r="A9" s="688" t="s">
        <v>2937</v>
      </c>
    </row>
    <row r="10" spans="1:11" ht="21.75" customHeight="1">
      <c r="A10" s="3601" t="str">
        <f>'Subsidy Layering Memo'!A44</f>
        <v xml:space="preserve">Ownership entity:  (NAME) LP, a Georgia Limited Partnership, will be the ownership entity for the proposed project. </v>
      </c>
      <c r="B10" s="3607"/>
      <c r="C10" s="3607"/>
      <c r="D10" s="3607"/>
      <c r="E10" s="3607"/>
      <c r="F10" s="3607"/>
      <c r="G10" s="3607"/>
      <c r="H10" s="3607"/>
      <c r="I10" s="3607"/>
      <c r="J10" s="3601"/>
    </row>
    <row r="11" spans="1:11" ht="63.75" customHeight="1">
      <c r="A11" s="3601" t="s">
        <v>2967</v>
      </c>
      <c r="B11" s="3601"/>
      <c r="C11" s="3601"/>
      <c r="D11" s="3601"/>
      <c r="E11" s="3601"/>
      <c r="F11" s="3601"/>
      <c r="G11" s="3601"/>
      <c r="H11" s="3601"/>
      <c r="I11" s="3601"/>
      <c r="J11" s="3601"/>
    </row>
    <row r="12" spans="1:11" ht="48.75" customHeight="1">
      <c r="A12" s="3601" t="s">
        <v>2968</v>
      </c>
      <c r="B12" s="3601"/>
      <c r="C12" s="3601"/>
      <c r="D12" s="3601"/>
      <c r="E12" s="3601"/>
      <c r="F12" s="3601"/>
      <c r="G12" s="3601"/>
      <c r="H12" s="3601"/>
      <c r="I12" s="3601"/>
      <c r="J12" s="3601"/>
    </row>
    <row r="13" spans="1:11" ht="15.75">
      <c r="A13" s="688" t="s">
        <v>2938</v>
      </c>
      <c r="B13" s="689"/>
    </row>
    <row r="14" spans="1:11">
      <c r="A14" s="686" t="s">
        <v>2939</v>
      </c>
      <c r="E14" s="690" t="s">
        <v>2940</v>
      </c>
    </row>
    <row r="15" spans="1:11">
      <c r="A15" s="686" t="s">
        <v>2941</v>
      </c>
      <c r="D15" s="691">
        <f>Overview!C25</f>
        <v>1400000</v>
      </c>
    </row>
    <row r="16" spans="1:11">
      <c r="A16" s="692" t="s">
        <v>2942</v>
      </c>
      <c r="D16" s="693">
        <f>Overview!C13</f>
        <v>65</v>
      </c>
    </row>
    <row r="17" spans="1:11" ht="14.25" customHeight="1"/>
    <row r="18" spans="1:11" ht="15.75">
      <c r="A18" s="688" t="s">
        <v>2943</v>
      </c>
      <c r="B18" s="689"/>
      <c r="C18" s="689"/>
    </row>
    <row r="19" spans="1:11" ht="48.75" customHeight="1">
      <c r="A19" s="3608" t="s">
        <v>2970</v>
      </c>
      <c r="B19" s="3608"/>
      <c r="C19" s="3608"/>
      <c r="D19" s="3608"/>
      <c r="E19" s="3608"/>
      <c r="F19" s="3608"/>
      <c r="G19" s="3608"/>
      <c r="H19" s="3608"/>
      <c r="I19" s="3608"/>
      <c r="J19" s="3608"/>
    </row>
    <row r="20" spans="1:11" ht="72.75" customHeight="1">
      <c r="A20" s="3601" t="s">
        <v>3411</v>
      </c>
      <c r="B20" s="3601"/>
      <c r="C20" s="3601"/>
      <c r="D20" s="3601"/>
      <c r="E20" s="3601"/>
      <c r="F20" s="3601"/>
      <c r="G20" s="3601"/>
      <c r="H20" s="3601"/>
      <c r="I20" s="3601"/>
      <c r="J20" s="3601"/>
    </row>
    <row r="21" spans="1:11" ht="15.75">
      <c r="A21" s="688" t="s">
        <v>2944</v>
      </c>
      <c r="B21" s="689"/>
      <c r="C21" s="689"/>
      <c r="D21" s="689"/>
      <c r="E21" s="689"/>
      <c r="F21" s="689"/>
    </row>
    <row r="22" spans="1:11" ht="102.75" customHeight="1">
      <c r="A22" s="3609" t="s">
        <v>2963</v>
      </c>
      <c r="B22" s="3609"/>
      <c r="C22" s="3609"/>
      <c r="D22" s="3609"/>
      <c r="E22" s="3609"/>
      <c r="F22" s="3609"/>
      <c r="G22" s="3609"/>
      <c r="H22" s="3609"/>
      <c r="I22" s="3609"/>
      <c r="J22" s="3609"/>
      <c r="K22" s="1456"/>
    </row>
    <row r="23" spans="1:11" ht="15" customHeight="1">
      <c r="A23" s="3606"/>
      <c r="B23" s="3606"/>
      <c r="C23" s="3606"/>
      <c r="D23" s="3606"/>
      <c r="E23" s="3606"/>
      <c r="F23" s="3606"/>
      <c r="G23" s="3606"/>
      <c r="H23" s="3606"/>
      <c r="I23" s="3606"/>
      <c r="J23" s="3606"/>
      <c r="K23" s="686" t="s">
        <v>245</v>
      </c>
    </row>
    <row r="24" spans="1:11" ht="15" customHeight="1">
      <c r="B24" s="1455"/>
      <c r="C24" s="1455"/>
      <c r="D24" s="1455"/>
      <c r="E24" s="1455"/>
      <c r="F24" s="1455"/>
      <c r="G24" s="1455"/>
      <c r="H24" s="1455"/>
      <c r="I24" s="1455" t="s">
        <v>245</v>
      </c>
      <c r="J24" s="1455"/>
    </row>
    <row r="25" spans="1:11" ht="15.75">
      <c r="A25" s="689" t="s">
        <v>2945</v>
      </c>
    </row>
    <row r="27" spans="1:11" ht="15.75" thickBot="1">
      <c r="A27" s="694"/>
      <c r="B27" s="694"/>
      <c r="C27" s="694"/>
      <c r="D27" s="694"/>
      <c r="F27" s="694"/>
      <c r="G27" s="694"/>
      <c r="H27" s="694"/>
      <c r="I27" s="694"/>
    </row>
    <row r="28" spans="1:11">
      <c r="A28" s="686" t="s">
        <v>2946</v>
      </c>
      <c r="D28" s="686" t="s">
        <v>934</v>
      </c>
      <c r="F28" s="686" t="s">
        <v>2947</v>
      </c>
      <c r="I28" s="686" t="s">
        <v>934</v>
      </c>
      <c r="J28" s="686" t="s">
        <v>245</v>
      </c>
    </row>
  </sheetData>
  <sheetProtection algorithmName="SHA-512" hashValue="faNV0RSvZKqmUWELrU4a7rxrqQvvA/DkLiwD7vlsfIxFtRnk6WFVWGHGFtZedo6N2v31lzPQ6wwYTQbx4dSjwg==" saltValue="ANZ0W1pUHpV310ar+OOGdA==" spinCount="100000"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54" customFormat="1" ht="18">
      <c r="A1" s="1386" t="s">
        <v>3006</v>
      </c>
      <c r="B1" s="752"/>
      <c r="C1" s="752"/>
      <c r="D1" s="752"/>
      <c r="E1" s="752"/>
      <c r="F1" s="752"/>
      <c r="G1" s="752"/>
      <c r="H1" s="752"/>
      <c r="I1" s="752"/>
      <c r="J1" s="752"/>
      <c r="K1" s="752"/>
      <c r="L1" s="689"/>
      <c r="M1" s="689"/>
    </row>
    <row r="2" spans="1:14" s="254" customFormat="1" ht="18">
      <c r="A2" s="1386" t="str">
        <f>+"Financial Analysis for:  "&amp;E8&amp;"  "&amp;C8</f>
        <v>Financial Analysis for:  2018-013  Tindall Fields III</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3007</v>
      </c>
      <c r="B7" s="686"/>
      <c r="C7" s="726"/>
      <c r="D7" s="727"/>
      <c r="E7" s="727"/>
      <c r="F7" s="689" t="s">
        <v>3337</v>
      </c>
      <c r="G7" s="686"/>
      <c r="H7" s="3610"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3610"/>
      <c r="J7" s="3610"/>
      <c r="K7" s="3610"/>
      <c r="L7" s="686"/>
      <c r="M7" s="686"/>
    </row>
    <row r="8" spans="1:14" ht="15.75">
      <c r="A8" s="689" t="s">
        <v>3008</v>
      </c>
      <c r="B8" s="689"/>
      <c r="C8" s="3610" t="str">
        <f>'Part I-Project Information'!F34</f>
        <v>Tindall Fields III</v>
      </c>
      <c r="D8" s="3610"/>
      <c r="E8" s="1458" t="str">
        <f>'Part I-Project Information'!O6</f>
        <v>2018-013</v>
      </c>
      <c r="F8" s="728" t="s">
        <v>3009</v>
      </c>
      <c r="G8" s="727"/>
      <c r="H8" s="3610" t="str">
        <f>CONCATENATE('Part I-Project Information'!F38,", ",'Part I-Project Information'!J39)</f>
        <v>Macon, Bibb</v>
      </c>
      <c r="I8" s="3610"/>
      <c r="J8" s="3610"/>
      <c r="K8" s="3610"/>
      <c r="L8" s="686"/>
      <c r="M8" s="729"/>
    </row>
    <row r="9" spans="1:14" ht="15.75">
      <c r="A9" s="689" t="s">
        <v>3011</v>
      </c>
      <c r="B9" s="689"/>
      <c r="C9" s="3610" t="s">
        <v>1784</v>
      </c>
      <c r="D9" s="3610"/>
      <c r="E9" s="727"/>
      <c r="F9" s="728" t="s">
        <v>3012</v>
      </c>
      <c r="G9" s="727"/>
      <c r="H9" s="3610" t="str">
        <f>'Part II-Development Team'!H5</f>
        <v>Tindall Partners IV, L.P.</v>
      </c>
      <c r="I9" s="3610"/>
      <c r="J9" s="3610"/>
      <c r="K9" s="3610"/>
      <c r="L9" s="3610"/>
      <c r="M9" s="729"/>
    </row>
    <row r="10" spans="1:14" ht="15.75">
      <c r="A10" s="689" t="s">
        <v>3014</v>
      </c>
      <c r="B10" s="686"/>
      <c r="C10" s="1458" t="str">
        <f>'Part II-Development Team'!H14</f>
        <v>Tindall IV GP, Inc.</v>
      </c>
      <c r="D10" s="727"/>
      <c r="E10" s="727"/>
      <c r="F10" s="728" t="s">
        <v>3583</v>
      </c>
      <c r="G10" s="727"/>
      <c r="H10" s="3610" t="str">
        <f>'Part II-Development Team'!H33</f>
        <v>Wells Fargo Bank, N.A. (Proposed)</v>
      </c>
      <c r="I10" s="3610"/>
      <c r="J10" s="3610"/>
      <c r="K10" s="3610" t="str">
        <f>'Part II-Development Team'!H39</f>
        <v>Wells Fargo Bank, N.A. (Proposed)</v>
      </c>
      <c r="L10" s="3610"/>
    </row>
    <row r="11" spans="1:14" ht="15.75">
      <c r="A11" s="689" t="s">
        <v>3015</v>
      </c>
      <c r="B11" s="686"/>
      <c r="C11" s="1458" t="str">
        <f>IF('Part II-Development Team'!H20="","",'Part II-Development Team'!H20)</f>
        <v/>
      </c>
      <c r="D11" s="727"/>
      <c r="E11" s="1388" t="str">
        <f>IF('Part II-Development Team'!H26="","",'Part II-Development Team'!H26)</f>
        <v/>
      </c>
      <c r="F11" s="728" t="s">
        <v>658</v>
      </c>
      <c r="G11" s="727"/>
      <c r="H11" s="3610" t="str">
        <f>'Part II-Development Team'!H54</f>
        <v>In-Fill Housing II, Inc.</v>
      </c>
      <c r="I11" s="3610"/>
      <c r="J11" s="3610"/>
      <c r="K11" s="3610">
        <f>'Part II-Development Team'!H60</f>
        <v>0</v>
      </c>
      <c r="L11" s="3610"/>
      <c r="M11" s="3610">
        <f>'Part II-Development Team'!H66</f>
        <v>0</v>
      </c>
      <c r="N11" s="3610"/>
    </row>
    <row r="12" spans="1:14" ht="15.75">
      <c r="A12" s="689" t="s">
        <v>3016</v>
      </c>
      <c r="B12" s="686"/>
      <c r="C12" s="1458" t="str">
        <f>'Part II-Development Team'!H86</f>
        <v>TBD through competitive bid process</v>
      </c>
      <c r="D12" s="727"/>
      <c r="E12" s="727"/>
      <c r="F12" s="728" t="s">
        <v>3017</v>
      </c>
      <c r="G12" s="727"/>
      <c r="H12" s="3610" t="str">
        <f>'Part II-Development Team'!H92</f>
        <v>Macon Housing Authority</v>
      </c>
      <c r="I12" s="3610"/>
      <c r="J12" s="3610"/>
      <c r="K12" s="3610"/>
      <c r="L12" s="686"/>
      <c r="M12" s="686"/>
    </row>
    <row r="13" spans="1:14" ht="15.75">
      <c r="A13" s="689" t="s">
        <v>3018</v>
      </c>
      <c r="B13" s="728"/>
      <c r="C13" s="685">
        <f>'Part VI-Revenues &amp; Expenses'!$O$62</f>
        <v>65</v>
      </c>
      <c r="E13" s="1389">
        <f>'Part VI-Revenues &amp; Expenses'!$O$58</f>
        <v>65</v>
      </c>
      <c r="F13" s="728" t="s">
        <v>4301</v>
      </c>
      <c r="G13" s="727"/>
      <c r="H13" s="1459">
        <f>'Part I-Project Information'!H72</f>
        <v>27</v>
      </c>
      <c r="I13" s="1390"/>
      <c r="J13" s="1390"/>
      <c r="K13" s="1459">
        <f>'Part I-Project Information'!P71</f>
        <v>87408</v>
      </c>
      <c r="L13" s="686"/>
      <c r="M13" s="686"/>
    </row>
    <row r="14" spans="1:14" ht="15.75">
      <c r="A14" s="689" t="s">
        <v>3326</v>
      </c>
      <c r="B14" s="686"/>
      <c r="C14" s="1459" t="str">
        <f>'Part I-Project Information'!H78</f>
        <v>Family</v>
      </c>
      <c r="D14" s="3610" t="str">
        <f>IF('Part I-Project Information'!N70=0,"",'Part I-Project Information'!N70)</f>
        <v/>
      </c>
      <c r="E14" s="3610"/>
      <c r="F14" s="728" t="s">
        <v>3019</v>
      </c>
      <c r="G14" s="727"/>
      <c r="H14" s="3611" t="s">
        <v>3522</v>
      </c>
      <c r="I14" s="3611"/>
      <c r="J14" s="3611"/>
      <c r="K14" s="3611" t="s">
        <v>3522</v>
      </c>
      <c r="L14" s="3611"/>
      <c r="M14" s="686"/>
    </row>
    <row r="15" spans="1:14" ht="15.75">
      <c r="A15" s="689" t="s">
        <v>3020</v>
      </c>
      <c r="B15" s="686"/>
      <c r="C15" s="730" t="s">
        <v>1784</v>
      </c>
      <c r="D15" s="727"/>
      <c r="E15" s="727"/>
      <c r="F15" s="728" t="s">
        <v>3327</v>
      </c>
      <c r="G15" s="727"/>
      <c r="H15" s="1458" t="str">
        <f>'Part I-Project Information'!K40</f>
        <v>Urban</v>
      </c>
      <c r="I15" s="727"/>
      <c r="J15" s="727"/>
      <c r="K15" s="727"/>
      <c r="L15" s="686"/>
      <c r="M15" s="686"/>
    </row>
    <row r="16" spans="1:14" ht="15.75">
      <c r="A16" s="689" t="s">
        <v>3556</v>
      </c>
      <c r="B16" s="686"/>
      <c r="C16" s="1458" t="str">
        <f>'Part I-Project Information'!H96</f>
        <v>Yes</v>
      </c>
      <c r="D16" s="731" t="s">
        <v>2696</v>
      </c>
      <c r="E16" s="1458" t="str">
        <f>'Part I-Project Information'!H98</f>
        <v>No</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3329</v>
      </c>
      <c r="B18" s="686"/>
      <c r="C18" s="1461">
        <f>'Part IV-A-Uses of Funds'!G132</f>
        <v>13639318</v>
      </c>
      <c r="D18" s="1437">
        <f>IF(C18=0,"",$C$29/C18)</f>
        <v>0.10264442840910373</v>
      </c>
      <c r="E18" s="727" t="s">
        <v>3330</v>
      </c>
      <c r="F18" s="728" t="s">
        <v>3331</v>
      </c>
      <c r="G18" s="727"/>
      <c r="H18" s="3612">
        <f>'Part IV-A-Uses of Funds'!B44</f>
        <v>10089000</v>
      </c>
      <c r="I18" s="3612"/>
      <c r="J18" s="1436">
        <f>IF(H18=0,"",$C$29/H18)</f>
        <v>0.13876499157498265</v>
      </c>
      <c r="K18" s="3610" t="s">
        <v>3332</v>
      </c>
      <c r="L18" s="3610"/>
      <c r="M18" s="686"/>
    </row>
    <row r="19" spans="1:13" ht="15.75">
      <c r="A19" s="689" t="s">
        <v>3021</v>
      </c>
      <c r="B19" s="686"/>
      <c r="C19" s="1460">
        <f>C18/C13</f>
        <v>209835.66153846154</v>
      </c>
      <c r="D19" s="727"/>
      <c r="E19" s="686"/>
      <c r="F19" s="689" t="s">
        <v>3021</v>
      </c>
      <c r="G19" s="686"/>
      <c r="H19" s="3613">
        <f>H18/C13</f>
        <v>155215.38461538462</v>
      </c>
      <c r="I19" s="3613"/>
      <c r="J19" s="686"/>
      <c r="K19" s="686"/>
      <c r="L19" s="686"/>
      <c r="M19" s="686"/>
    </row>
    <row r="20" spans="1:13" ht="15.75">
      <c r="A20" s="689" t="s">
        <v>3022</v>
      </c>
      <c r="B20" s="686"/>
      <c r="C20" s="1462">
        <f>C18/K13</f>
        <v>156.04198700347794</v>
      </c>
      <c r="D20" s="732"/>
      <c r="E20" s="733"/>
      <c r="F20" s="689" t="s">
        <v>3022</v>
      </c>
      <c r="G20" s="686"/>
      <c r="H20" s="3614">
        <f>H18/K13</f>
        <v>115.42421746293246</v>
      </c>
      <c r="I20" s="3613"/>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3023</v>
      </c>
      <c r="B23" s="736"/>
      <c r="C23" s="736"/>
      <c r="D23" s="736"/>
      <c r="E23" s="727"/>
      <c r="F23" s="727"/>
      <c r="G23" s="727"/>
      <c r="H23" s="727"/>
      <c r="I23" s="727"/>
      <c r="J23" s="727"/>
      <c r="K23" s="727"/>
      <c r="L23" s="686"/>
      <c r="M23" s="729"/>
    </row>
    <row r="24" spans="1:13" ht="27" customHeight="1">
      <c r="A24" s="686"/>
      <c r="B24" s="686"/>
      <c r="C24" s="686"/>
      <c r="D24" s="737" t="s">
        <v>3024</v>
      </c>
      <c r="E24" s="686"/>
      <c r="F24" s="686"/>
      <c r="G24" s="686"/>
      <c r="H24" s="686"/>
      <c r="I24" s="686"/>
      <c r="J24" s="686"/>
      <c r="K24" s="686"/>
      <c r="L24" s="686"/>
      <c r="M24" s="729"/>
    </row>
    <row r="25" spans="1:13" ht="15.75">
      <c r="A25" s="689" t="s">
        <v>3025</v>
      </c>
      <c r="B25" s="738" t="str">
        <f>'Part III-Sources of Funds'!E37</f>
        <v>Macon-Bibb Co. Urban Development Authority</v>
      </c>
      <c r="C25" s="739">
        <f>'Part III-Sources of Funds'!I37</f>
        <v>1400000</v>
      </c>
      <c r="D25" s="740" t="s">
        <v>3026</v>
      </c>
      <c r="E25" s="686"/>
      <c r="F25" s="727"/>
      <c r="G25" s="686" t="s">
        <v>3027</v>
      </c>
      <c r="H25" s="686"/>
      <c r="I25" s="686"/>
      <c r="K25" s="739"/>
      <c r="L25" s="727"/>
      <c r="M25" s="729"/>
    </row>
    <row r="26" spans="1:13" ht="15">
      <c r="A26" s="686"/>
      <c r="B26" s="738"/>
      <c r="C26" s="739"/>
      <c r="D26" s="740"/>
      <c r="E26" s="686"/>
      <c r="F26" s="727"/>
      <c r="G26" s="686" t="s">
        <v>3028</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3029</v>
      </c>
      <c r="H28" s="686"/>
      <c r="I28" s="686"/>
      <c r="K28" s="739"/>
      <c r="L28" s="727"/>
      <c r="M28" s="686"/>
    </row>
    <row r="29" spans="1:13" ht="16.5" thickBot="1">
      <c r="A29" s="686"/>
      <c r="B29" s="742" t="s">
        <v>3030</v>
      </c>
      <c r="C29" s="743">
        <f>SUM(C25:C27)</f>
        <v>1400000</v>
      </c>
      <c r="D29" s="686"/>
      <c r="E29" s="686"/>
      <c r="F29" s="727"/>
      <c r="G29" s="686" t="s">
        <v>3031</v>
      </c>
      <c r="H29" s="686"/>
      <c r="I29" s="686"/>
      <c r="K29" s="741" t="e">
        <f>C29/K28</f>
        <v>#DIV/0!</v>
      </c>
      <c r="L29" s="727"/>
      <c r="M29" s="686"/>
    </row>
    <row r="30" spans="1:13" ht="16.5" thickTop="1">
      <c r="A30" s="689" t="s">
        <v>3032</v>
      </c>
      <c r="B30" s="742"/>
      <c r="C30" s="744">
        <f>'Part III-Sources of Funds'!$I$49+'Part III-Sources of Funds'!$I$50</f>
        <v>12239318</v>
      </c>
      <c r="D30" s="686"/>
      <c r="E30" s="686"/>
      <c r="F30" s="727"/>
      <c r="G30" s="686"/>
      <c r="H30" s="686"/>
      <c r="I30" s="686"/>
      <c r="K30" s="745"/>
      <c r="L30" s="727"/>
      <c r="M30" s="686"/>
    </row>
    <row r="31" spans="1:13" ht="15">
      <c r="A31" s="746" t="s">
        <v>3033</v>
      </c>
      <c r="B31" s="738">
        <f>'Part III-Sources of Funds'!E38</f>
        <v>0</v>
      </c>
      <c r="C31" s="739">
        <f>'Part III-Sources of Funds'!I38</f>
        <v>0</v>
      </c>
      <c r="D31" s="740"/>
      <c r="E31" s="686"/>
      <c r="F31" s="727"/>
      <c r="G31" s="686"/>
      <c r="H31" s="686"/>
      <c r="I31" s="686"/>
      <c r="K31" s="686"/>
      <c r="L31" s="727"/>
      <c r="M31" s="686"/>
    </row>
    <row r="32" spans="1:13" ht="15">
      <c r="A32" s="746" t="s">
        <v>3033</v>
      </c>
      <c r="B32" s="738">
        <f>'Part III-Sources of Funds'!E39</f>
        <v>0</v>
      </c>
      <c r="C32" s="739">
        <f>'Part III-Sources of Funds'!I39</f>
        <v>0</v>
      </c>
      <c r="D32" s="740"/>
      <c r="E32" s="686" t="s">
        <v>245</v>
      </c>
      <c r="F32" s="727"/>
      <c r="G32" s="686" t="s">
        <v>3034</v>
      </c>
      <c r="H32" s="686"/>
      <c r="I32" s="686"/>
      <c r="K32" s="739"/>
      <c r="L32" s="727"/>
      <c r="M32" s="727"/>
    </row>
    <row r="33" spans="1:13" ht="15">
      <c r="A33" s="686"/>
      <c r="B33" s="727"/>
      <c r="C33" s="747"/>
      <c r="D33" s="686"/>
      <c r="E33" s="686"/>
      <c r="F33" s="727"/>
      <c r="G33" s="1393" t="s">
        <v>3035</v>
      </c>
      <c r="H33" s="1393"/>
      <c r="I33" s="1393"/>
      <c r="K33" s="741" t="e">
        <f>$C$29/K32</f>
        <v>#DIV/0!</v>
      </c>
      <c r="L33" s="727"/>
      <c r="M33" s="748"/>
    </row>
    <row r="34" spans="1:13" ht="15.75">
      <c r="A34" s="686"/>
      <c r="B34" s="742" t="s">
        <v>3036</v>
      </c>
      <c r="C34" s="747">
        <f>SUM(C31:C32)</f>
        <v>0</v>
      </c>
      <c r="D34" s="686"/>
      <c r="E34" s="686"/>
      <c r="F34" s="686"/>
      <c r="G34" s="686"/>
      <c r="H34" s="686"/>
      <c r="I34" s="686"/>
      <c r="K34" s="727"/>
      <c r="L34" s="686"/>
      <c r="M34" s="748"/>
    </row>
    <row r="35" spans="1:13" ht="15.75">
      <c r="A35" s="686"/>
      <c r="B35" s="742"/>
      <c r="C35" s="686"/>
      <c r="D35" s="686"/>
      <c r="E35" s="686"/>
      <c r="F35" s="686"/>
      <c r="G35" s="1393" t="s">
        <v>3037</v>
      </c>
      <c r="H35" s="1393"/>
      <c r="I35" s="1393"/>
      <c r="K35" s="749" t="e">
        <f>(C36)/K25</f>
        <v>#DIV/0!</v>
      </c>
      <c r="L35" s="686"/>
      <c r="M35" s="727"/>
    </row>
    <row r="36" spans="1:13" ht="15.75">
      <c r="A36" s="686"/>
      <c r="B36" s="742" t="s">
        <v>3038</v>
      </c>
      <c r="C36" s="747">
        <f>C29+C34</f>
        <v>1400000</v>
      </c>
      <c r="D36" s="686"/>
      <c r="E36" s="686"/>
      <c r="F36" s="686"/>
      <c r="G36" s="686"/>
      <c r="H36" s="686"/>
      <c r="I36" s="686"/>
      <c r="K36" s="727"/>
      <c r="L36" s="686"/>
      <c r="M36" s="727"/>
    </row>
    <row r="37" spans="1:13" ht="15.75">
      <c r="A37" s="686"/>
      <c r="B37" s="742"/>
      <c r="C37" s="750"/>
      <c r="D37" s="686"/>
      <c r="E37" s="686"/>
      <c r="F37" s="686"/>
      <c r="G37" s="1393" t="s">
        <v>3039</v>
      </c>
      <c r="H37" s="1393"/>
      <c r="I37" s="1393"/>
      <c r="K37" s="1394" t="e">
        <f>+(C36)/K32</f>
        <v>#DIV/0!</v>
      </c>
      <c r="L37" s="686"/>
      <c r="M37" s="748"/>
    </row>
    <row r="38" spans="1:13" ht="15.75">
      <c r="A38" s="686"/>
      <c r="B38" s="742" t="s">
        <v>3040</v>
      </c>
      <c r="C38" s="751">
        <f>C36/C18</f>
        <v>0.10264442840910373</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3041</v>
      </c>
      <c r="C40" s="751">
        <f>C36/H18</f>
        <v>0.13876499157498265</v>
      </c>
      <c r="D40" s="686"/>
      <c r="E40" s="686"/>
      <c r="F40" s="689"/>
      <c r="G40" s="689" t="s">
        <v>3042</v>
      </c>
      <c r="H40" s="686"/>
      <c r="I40" s="686"/>
      <c r="K40" s="741">
        <f>C30/C18</f>
        <v>0.89735557159089629</v>
      </c>
      <c r="L40" s="686"/>
      <c r="M40" s="686"/>
    </row>
    <row r="46" spans="1:13" ht="15.75">
      <c r="A46" s="752" t="s">
        <v>3043</v>
      </c>
      <c r="B46" s="722"/>
      <c r="C46" s="722"/>
      <c r="D46" s="722"/>
      <c r="E46" s="722"/>
      <c r="F46" s="722"/>
      <c r="G46" s="722"/>
      <c r="H46" s="722"/>
      <c r="I46" s="722"/>
      <c r="J46" s="722"/>
      <c r="K46" s="722"/>
      <c r="L46" s="722"/>
      <c r="M46" s="686"/>
    </row>
    <row r="47" spans="1:13" ht="15.75">
      <c r="A47" s="752" t="str">
        <f>C8</f>
        <v>Tindall Fields III</v>
      </c>
      <c r="B47" s="722"/>
      <c r="C47" s="722"/>
      <c r="D47" s="722"/>
      <c r="E47" s="722"/>
      <c r="F47" s="722"/>
      <c r="G47" s="722"/>
      <c r="H47" s="722"/>
      <c r="I47" s="722"/>
      <c r="J47" s="722"/>
      <c r="K47" s="722"/>
      <c r="L47" s="722"/>
      <c r="M47" s="686"/>
    </row>
    <row r="50" spans="1:14" s="686" customFormat="1" ht="15.75">
      <c r="A50" s="689" t="s">
        <v>3044</v>
      </c>
      <c r="C50" s="753" t="s">
        <v>3045</v>
      </c>
      <c r="E50" s="754" t="s">
        <v>3523</v>
      </c>
      <c r="F50" s="755">
        <v>0.1</v>
      </c>
      <c r="G50" s="754" t="s">
        <v>3524</v>
      </c>
      <c r="H50" s="755">
        <v>0.05</v>
      </c>
      <c r="I50" s="754" t="s">
        <v>3525</v>
      </c>
      <c r="J50" s="755">
        <v>0.03</v>
      </c>
      <c r="K50" s="3615" t="s">
        <v>3046</v>
      </c>
      <c r="L50" s="3616"/>
      <c r="M50" s="28"/>
      <c r="N50" s="28"/>
    </row>
    <row r="51" spans="1:14" s="686" customFormat="1" ht="15.75">
      <c r="A51" s="689"/>
      <c r="C51" s="753"/>
      <c r="E51" s="753"/>
      <c r="F51" s="756"/>
      <c r="G51" s="753"/>
      <c r="H51" s="756"/>
      <c r="I51" s="753"/>
      <c r="J51" s="756"/>
      <c r="K51" s="753"/>
      <c r="M51" s="28"/>
      <c r="N51" s="28"/>
    </row>
    <row r="52" spans="1:14" s="686" customFormat="1" ht="18.75" customHeight="1">
      <c r="B52" s="757" t="s">
        <v>3047</v>
      </c>
      <c r="C52" s="758">
        <f>'Part VII-Pro Forma'!B14</f>
        <v>464856</v>
      </c>
      <c r="D52" s="758"/>
      <c r="E52" s="758">
        <f>$C$52</f>
        <v>464856</v>
      </c>
      <c r="F52" s="758"/>
      <c r="G52" s="758">
        <f>$C$52</f>
        <v>464856</v>
      </c>
      <c r="H52" s="758"/>
      <c r="I52" s="758">
        <f>$C$52</f>
        <v>464856</v>
      </c>
      <c r="J52" s="758"/>
      <c r="K52" s="758">
        <f>$C$52</f>
        <v>464856</v>
      </c>
      <c r="L52" s="759"/>
      <c r="M52" s="28"/>
      <c r="N52" s="28"/>
    </row>
    <row r="53" spans="1:14" s="686" customFormat="1" ht="18.75" customHeight="1">
      <c r="B53" s="757" t="s">
        <v>3050</v>
      </c>
      <c r="C53" s="758">
        <f>'Part VII-Pro Forma'!B15</f>
        <v>9297.1200000000008</v>
      </c>
      <c r="D53" s="758"/>
      <c r="E53" s="758">
        <f>$C$53</f>
        <v>9297.1200000000008</v>
      </c>
      <c r="F53" s="758"/>
      <c r="G53" s="758">
        <f>$C$53</f>
        <v>9297.1200000000008</v>
      </c>
      <c r="H53" s="758"/>
      <c r="I53" s="758">
        <f>$C$53</f>
        <v>9297.1200000000008</v>
      </c>
      <c r="J53" s="758"/>
      <c r="K53" s="758">
        <f>$C$53</f>
        <v>9297.1200000000008</v>
      </c>
      <c r="L53" s="759"/>
      <c r="M53" s="28"/>
      <c r="N53" s="28"/>
    </row>
    <row r="54" spans="1:14" s="686" customFormat="1" ht="18.75" customHeight="1">
      <c r="B54" s="757" t="s">
        <v>3048</v>
      </c>
      <c r="C54" s="758">
        <f>'Part VII-Pro Forma'!B16</f>
        <v>-33190.718400000005</v>
      </c>
      <c r="D54" s="758"/>
      <c r="E54" s="758">
        <f>-($C$52+E53)*F50</f>
        <v>-47415.312000000005</v>
      </c>
      <c r="F54" s="760"/>
      <c r="G54" s="758">
        <f>-($C$52+G53)*0.07</f>
        <v>-33190.718400000005</v>
      </c>
      <c r="H54" s="758"/>
      <c r="I54" s="758">
        <f>-($C$52+I53)*0.07</f>
        <v>-33190.718400000005</v>
      </c>
      <c r="J54" s="758"/>
      <c r="K54" s="758">
        <f>-($C$52+K53)*L54</f>
        <v>-47415.312000000005</v>
      </c>
      <c r="L54" s="761">
        <v>0.1</v>
      </c>
      <c r="M54" s="28"/>
      <c r="N54" s="28"/>
    </row>
    <row r="55" spans="1:14" s="686" customFormat="1" ht="18.75" customHeight="1">
      <c r="B55" s="757" t="s">
        <v>3049</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3051</v>
      </c>
      <c r="C56" s="764">
        <f>SUM(C52:C55)</f>
        <v>440962.40159999998</v>
      </c>
      <c r="D56" s="758"/>
      <c r="E56" s="764">
        <f>SUM(E52:E55)</f>
        <v>426737.80799999996</v>
      </c>
      <c r="F56" s="758"/>
      <c r="G56" s="764">
        <f>SUM(G52:G55)</f>
        <v>440962.40159999998</v>
      </c>
      <c r="H56" s="758"/>
      <c r="I56" s="764">
        <f>SUM(I52:I55)</f>
        <v>440962.40159999998</v>
      </c>
      <c r="J56" s="758"/>
      <c r="K56" s="764">
        <f>SUM(K52:K55)</f>
        <v>426737.80799999996</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3052</v>
      </c>
      <c r="C58" s="758">
        <f>+'Part VI-Revenues &amp; Expenses'!F168+'Part VI-Revenues &amp; Expenses'!F177+'Part VI-Revenues &amp; Expenses'!K166+'Part VI-Revenues &amp; Expenses'!K175</f>
        <v>131250</v>
      </c>
      <c r="D58" s="758"/>
      <c r="E58" s="758">
        <f>$C$58</f>
        <v>131250</v>
      </c>
      <c r="F58" s="758"/>
      <c r="G58" s="758">
        <f>$C$58</f>
        <v>131250</v>
      </c>
      <c r="H58" s="758"/>
      <c r="I58" s="758">
        <f>$C$58</f>
        <v>131250</v>
      </c>
      <c r="J58" s="758"/>
      <c r="K58" s="758">
        <f>$C$58</f>
        <v>131250</v>
      </c>
      <c r="L58" s="759"/>
      <c r="M58" s="28"/>
      <c r="N58" s="28"/>
    </row>
    <row r="59" spans="1:14" s="686" customFormat="1" ht="18.75" customHeight="1">
      <c r="B59" s="757" t="s">
        <v>3053</v>
      </c>
      <c r="C59" s="758">
        <f>+'Part VI-Revenues &amp; Expenses'!F188</f>
        <v>51000</v>
      </c>
      <c r="D59" s="758"/>
      <c r="E59" s="758">
        <f>$C$59</f>
        <v>51000</v>
      </c>
      <c r="F59" s="758"/>
      <c r="G59" s="758">
        <f>$C$59</f>
        <v>51000</v>
      </c>
      <c r="H59" s="758"/>
      <c r="I59" s="758">
        <f>$C$59</f>
        <v>51000</v>
      </c>
      <c r="J59" s="758"/>
      <c r="K59" s="758">
        <f>$C$59*(1+$L$59)</f>
        <v>53040</v>
      </c>
      <c r="L59" s="766">
        <v>0.04</v>
      </c>
      <c r="M59" s="28"/>
      <c r="N59" s="28"/>
    </row>
    <row r="60" spans="1:14" s="686" customFormat="1" ht="18.75" customHeight="1">
      <c r="B60" s="757" t="s">
        <v>1387</v>
      </c>
      <c r="C60" s="758">
        <f>+'Part VI-Revenues &amp; Expenses'!K185</f>
        <v>36500</v>
      </c>
      <c r="D60" s="758"/>
      <c r="E60" s="758">
        <f>$C$60</f>
        <v>36500</v>
      </c>
      <c r="F60" s="758"/>
      <c r="G60" s="758">
        <f>$C$60</f>
        <v>36500</v>
      </c>
      <c r="H60" s="758"/>
      <c r="I60" s="758">
        <f>$C$60*(1+$J$50)</f>
        <v>37595</v>
      </c>
      <c r="J60" s="760"/>
      <c r="K60" s="758">
        <f>$C$60*(1+$J$50)</f>
        <v>37595</v>
      </c>
      <c r="L60" s="761">
        <v>0.03</v>
      </c>
      <c r="M60" s="28"/>
      <c r="N60" s="28"/>
    </row>
    <row r="61" spans="1:14" s="686" customFormat="1" ht="18.75" customHeight="1">
      <c r="B61" s="757" t="s">
        <v>1388</v>
      </c>
      <c r="C61" s="758">
        <f>+'Part VI-Revenues &amp; Expenses'!P167</f>
        <v>49633</v>
      </c>
      <c r="D61" s="758"/>
      <c r="E61" s="758">
        <f>$C$61</f>
        <v>49633</v>
      </c>
      <c r="F61" s="758"/>
      <c r="G61" s="758">
        <f>$C$61*(1+H50)</f>
        <v>52114.65</v>
      </c>
      <c r="H61" s="760"/>
      <c r="I61" s="758">
        <f>$C$61</f>
        <v>49633</v>
      </c>
      <c r="J61" s="758"/>
      <c r="K61" s="758">
        <f>$C$61*(1+$L$61)</f>
        <v>52114.65</v>
      </c>
      <c r="L61" s="761">
        <v>0.05</v>
      </c>
      <c r="M61" s="28"/>
      <c r="N61" s="28"/>
    </row>
    <row r="62" spans="1:14" s="686" customFormat="1" ht="18.75" customHeight="1">
      <c r="B62" s="763" t="s">
        <v>3054</v>
      </c>
      <c r="C62" s="764">
        <f>SUM(C58:C61)</f>
        <v>268383</v>
      </c>
      <c r="D62" s="758"/>
      <c r="E62" s="764">
        <f>SUM(E58:E61)</f>
        <v>268383</v>
      </c>
      <c r="F62" s="758"/>
      <c r="G62" s="764">
        <f>SUM(G58:G61)</f>
        <v>270864.65000000002</v>
      </c>
      <c r="H62" s="758"/>
      <c r="I62" s="764">
        <f>SUM(I58:I61)</f>
        <v>269478</v>
      </c>
      <c r="J62" s="758"/>
      <c r="K62" s="764">
        <f>SUM(K58:K61)</f>
        <v>273999.65000000002</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3055</v>
      </c>
      <c r="C64" s="770">
        <f>C56-C62</f>
        <v>172579.40159999998</v>
      </c>
      <c r="D64" s="770"/>
      <c r="E64" s="770">
        <f>E56-E62</f>
        <v>158354.80799999996</v>
      </c>
      <c r="F64" s="770"/>
      <c r="G64" s="770">
        <f>G56-G62</f>
        <v>170097.75159999996</v>
      </c>
      <c r="H64" s="770"/>
      <c r="I64" s="770">
        <f>I56-I62</f>
        <v>171484.40159999998</v>
      </c>
      <c r="J64" s="770"/>
      <c r="K64" s="770">
        <f>K56-K62</f>
        <v>152738.15799999994</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3056</v>
      </c>
      <c r="C66" s="765">
        <f>'Part VI-Revenues &amp; Expenses'!P179</f>
        <v>23390</v>
      </c>
      <c r="D66" s="765"/>
      <c r="E66" s="765">
        <f>$C$66</f>
        <v>23390</v>
      </c>
      <c r="F66" s="765"/>
      <c r="G66" s="765">
        <f>$C$66</f>
        <v>23390</v>
      </c>
      <c r="H66" s="765"/>
      <c r="I66" s="765">
        <f>$C$66</f>
        <v>23390</v>
      </c>
      <c r="J66" s="765"/>
      <c r="K66" s="765">
        <f>$C$66</f>
        <v>23390</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3057</v>
      </c>
      <c r="C68" s="765">
        <f>'Part VI-Revenues &amp; Expenses'!P170</f>
        <v>30420</v>
      </c>
      <c r="D68" s="765"/>
      <c r="E68" s="765">
        <f>$C$68</f>
        <v>30420</v>
      </c>
      <c r="F68" s="765"/>
      <c r="G68" s="765">
        <f>$C$68</f>
        <v>30420</v>
      </c>
      <c r="H68" s="765"/>
      <c r="I68" s="765">
        <f>$C$68</f>
        <v>30420</v>
      </c>
      <c r="J68" s="765"/>
      <c r="K68" s="765">
        <f>$C$68</f>
        <v>30420</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3058</v>
      </c>
      <c r="C70" s="773">
        <f>C64-C66-C68</f>
        <v>118769.40159999998</v>
      </c>
      <c r="D70" s="774"/>
      <c r="E70" s="773">
        <f>E64-E66-E68</f>
        <v>104544.80799999996</v>
      </c>
      <c r="F70" s="774"/>
      <c r="G70" s="773">
        <f>G64-G66-G68</f>
        <v>116287.75159999996</v>
      </c>
      <c r="H70" s="774"/>
      <c r="I70" s="773">
        <f>I64-I66-I68</f>
        <v>117674.40159999998</v>
      </c>
      <c r="J70" s="774"/>
      <c r="K70" s="773">
        <f>K64-K66-K68</f>
        <v>98928.157999999938</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3059</v>
      </c>
      <c r="C72" s="1438">
        <f>-C70/C75</f>
        <v>1.9126717503996546</v>
      </c>
      <c r="D72" s="776"/>
      <c r="E72" s="1438">
        <f>-E70/E75</f>
        <v>1.6835977803946076</v>
      </c>
      <c r="F72" s="776"/>
      <c r="G72" s="1438">
        <f>-G70/G75</f>
        <v>1.872707064332066</v>
      </c>
      <c r="H72" s="776"/>
      <c r="I72" s="1438">
        <f>-I70/I75</f>
        <v>1.8950377845930304</v>
      </c>
      <c r="J72" s="776"/>
      <c r="K72" s="1438">
        <f>-K70/K75</f>
        <v>1.5931468086614784</v>
      </c>
      <c r="L72" s="777"/>
      <c r="M72" s="254"/>
      <c r="N72" s="254"/>
    </row>
    <row r="73" spans="1:14" s="686" customFormat="1" ht="18.75" customHeight="1">
      <c r="A73" s="28"/>
      <c r="B73" s="757" t="s">
        <v>3060</v>
      </c>
      <c r="C73" s="1439">
        <f>C76/C62</f>
        <v>0.21116587186326305</v>
      </c>
      <c r="D73" s="778"/>
      <c r="E73" s="1439">
        <f>E76/E62</f>
        <v>0.15816477417823821</v>
      </c>
      <c r="F73" s="778"/>
      <c r="G73" s="1439">
        <f>G76/G62</f>
        <v>0.20006922346004952</v>
      </c>
      <c r="H73" s="778"/>
      <c r="I73" s="1439">
        <f>I76/I62</f>
        <v>0.20624440654998971</v>
      </c>
      <c r="J73" s="778"/>
      <c r="K73" s="1439">
        <f>K76/K62</f>
        <v>0.13442384538913857</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3061</v>
      </c>
      <c r="C75" s="758">
        <f>+SUM('Part VII-Pro Forma'!B23:B26)</f>
        <v>-62096.071411721852</v>
      </c>
      <c r="D75" s="758"/>
      <c r="E75" s="758">
        <f>$C$75</f>
        <v>-62096.071411721852</v>
      </c>
      <c r="F75" s="758"/>
      <c r="G75" s="758">
        <f>$C$75</f>
        <v>-62096.071411721852</v>
      </c>
      <c r="H75" s="758"/>
      <c r="I75" s="758">
        <f>$C$75</f>
        <v>-62096.071411721852</v>
      </c>
      <c r="J75" s="758"/>
      <c r="K75" s="758">
        <f>$C$75</f>
        <v>-62096.071411721852</v>
      </c>
      <c r="L75" s="34"/>
      <c r="M75" s="28"/>
      <c r="N75" s="28"/>
    </row>
    <row r="76" spans="1:14" s="686" customFormat="1" ht="18.75" customHeight="1">
      <c r="A76" s="28"/>
      <c r="B76" s="757" t="s">
        <v>1175</v>
      </c>
      <c r="C76" s="758">
        <f>C70+C75</f>
        <v>56673.330188278131</v>
      </c>
      <c r="D76" s="758"/>
      <c r="E76" s="758">
        <f>E70+E75</f>
        <v>42448.736588278109</v>
      </c>
      <c r="F76" s="758"/>
      <c r="G76" s="758">
        <f>G70+G75</f>
        <v>54191.680188278107</v>
      </c>
      <c r="H76" s="758"/>
      <c r="I76" s="758">
        <f>I70+I75</f>
        <v>55578.330188278131</v>
      </c>
      <c r="J76" s="758"/>
      <c r="K76" s="758">
        <f>K70+K75</f>
        <v>36832.086588278085</v>
      </c>
      <c r="L76" s="34"/>
      <c r="M76" s="28"/>
      <c r="N76" s="28"/>
    </row>
    <row r="77" spans="1:14" s="686" customFormat="1" ht="15" hidden="1">
      <c r="A77" s="28"/>
      <c r="B77" s="757" t="s">
        <v>3062</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3063</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3064</v>
      </c>
      <c r="C80" s="781" t="e">
        <f>MIN(C77,E77,G77,I77,K77)</f>
        <v>#NAME?</v>
      </c>
      <c r="D80" s="767"/>
      <c r="E80" s="767" t="s">
        <v>3065</v>
      </c>
      <c r="F80" s="782">
        <v>0.06</v>
      </c>
      <c r="G80" s="34"/>
      <c r="H80" s="34"/>
      <c r="I80" s="34"/>
      <c r="J80" s="34"/>
      <c r="K80" s="34"/>
      <c r="L80" s="34"/>
      <c r="M80" s="28"/>
      <c r="N80" s="28"/>
    </row>
    <row r="81" spans="1:14" s="686" customFormat="1" ht="15" hidden="1">
      <c r="A81" s="28"/>
      <c r="B81" s="767" t="s">
        <v>1743</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245</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98"/>
    <col min="2" max="2" width="7.7109375" style="698" customWidth="1"/>
    <col min="3" max="3" width="14.85546875" style="698" customWidth="1"/>
    <col min="4" max="4" width="20.28515625" style="698" customWidth="1"/>
    <col min="5" max="5" width="8" style="698" customWidth="1"/>
    <col min="6" max="6" width="5.140625" style="698" customWidth="1"/>
    <col min="7" max="7" width="5.42578125" style="698" customWidth="1"/>
    <col min="8" max="8" width="8.5703125" style="698" customWidth="1"/>
    <col min="9" max="9" width="28.5703125" style="698" customWidth="1"/>
    <col min="10" max="10" width="4.140625" style="698" hidden="1" customWidth="1"/>
    <col min="11" max="11" width="9.140625" style="698"/>
    <col min="12" max="12" width="16.140625" style="698" customWidth="1"/>
    <col min="13" max="13" width="11.28515625" style="698" customWidth="1"/>
    <col min="14" max="14" width="10.85546875" style="698" bestFit="1" customWidth="1"/>
    <col min="15" max="15" width="28.5703125" style="698" customWidth="1"/>
    <col min="16" max="16384" width="9.140625" style="698"/>
  </cols>
  <sheetData>
    <row r="2" spans="1:10" ht="15">
      <c r="A2" s="695" t="s">
        <v>2948</v>
      </c>
      <c r="B2" s="696"/>
      <c r="C2" s="696"/>
      <c r="D2" s="696"/>
      <c r="E2" s="697"/>
      <c r="F2" s="696"/>
      <c r="G2" s="696"/>
      <c r="H2" s="696"/>
      <c r="I2" s="696"/>
      <c r="J2" s="696"/>
    </row>
    <row r="3" spans="1:10" ht="15">
      <c r="A3" s="699"/>
    </row>
    <row r="4" spans="1:10" ht="15">
      <c r="A4" s="699" t="s">
        <v>2949</v>
      </c>
      <c r="D4" s="698" t="s">
        <v>2950</v>
      </c>
    </row>
    <row r="5" spans="1:10" ht="15">
      <c r="A5" s="699"/>
    </row>
    <row r="6" spans="1:10" ht="15">
      <c r="A6" s="699" t="s">
        <v>2951</v>
      </c>
      <c r="D6" s="698" t="s">
        <v>2952</v>
      </c>
    </row>
    <row r="7" spans="1:10" ht="15">
      <c r="A7" s="699"/>
    </row>
    <row r="8" spans="1:10" ht="15">
      <c r="A8" s="699" t="s">
        <v>2953</v>
      </c>
      <c r="D8" s="700" t="s">
        <v>2954</v>
      </c>
    </row>
    <row r="9" spans="1:10" ht="15">
      <c r="A9" s="699"/>
    </row>
    <row r="10" spans="1:10" ht="15">
      <c r="A10" s="699" t="s">
        <v>2955</v>
      </c>
      <c r="D10" s="700" t="s">
        <v>2956</v>
      </c>
    </row>
    <row r="11" spans="1:10" ht="15">
      <c r="A11" s="699"/>
      <c r="D11" s="1467"/>
    </row>
    <row r="12" spans="1:10" ht="15">
      <c r="A12" s="699" t="s">
        <v>2957</v>
      </c>
      <c r="D12" s="698" t="s">
        <v>623</v>
      </c>
      <c r="F12" s="1467" t="str">
        <f>Overview!$C$8</f>
        <v>Tindall Fields III</v>
      </c>
    </row>
    <row r="13" spans="1:10" ht="15">
      <c r="A13" s="699"/>
      <c r="D13" s="698" t="s">
        <v>2958</v>
      </c>
      <c r="F13" s="1467" t="str">
        <f>Overview!E8</f>
        <v>2018-013</v>
      </c>
    </row>
    <row r="14" spans="1:10" ht="15">
      <c r="A14" s="699"/>
      <c r="D14" s="698" t="s">
        <v>2959</v>
      </c>
      <c r="F14" s="1467" t="str">
        <f>Overview!H8</f>
        <v>Macon, Bibb</v>
      </c>
    </row>
    <row r="15" spans="1:10" ht="15">
      <c r="A15" s="699"/>
      <c r="D15" s="698" t="s">
        <v>3323</v>
      </c>
      <c r="F15" s="3630">
        <f>Overview!$C$25</f>
        <v>1400000</v>
      </c>
      <c r="G15" s="3630"/>
      <c r="H15" s="3630"/>
    </row>
    <row r="16" spans="1:10" ht="15">
      <c r="A16" s="699"/>
      <c r="D16" s="701" t="s">
        <v>2960</v>
      </c>
      <c r="F16" s="702">
        <f>Overview!C13</f>
        <v>65</v>
      </c>
      <c r="G16" s="703" t="s">
        <v>3324</v>
      </c>
      <c r="H16" s="1391">
        <f>Overview!E13</f>
        <v>65</v>
      </c>
    </row>
    <row r="17" spans="1:18" ht="15">
      <c r="A17" s="699"/>
      <c r="D17" s="701" t="s">
        <v>2923</v>
      </c>
      <c r="F17" s="702" t="str">
        <f>Overview!C14</f>
        <v>Family</v>
      </c>
    </row>
    <row r="18" spans="1:18" ht="15">
      <c r="A18" s="699"/>
      <c r="D18" s="701" t="s">
        <v>3328</v>
      </c>
      <c r="F18" s="1467" t="str">
        <f>Overview!H15</f>
        <v>Urban</v>
      </c>
    </row>
    <row r="19" spans="1:18" ht="15">
      <c r="A19" s="699"/>
      <c r="D19" s="701" t="s">
        <v>3325</v>
      </c>
      <c r="F19" s="1467" t="str">
        <f>Overview!E16</f>
        <v>No</v>
      </c>
    </row>
    <row r="20" spans="1:18" ht="15">
      <c r="A20" s="699"/>
      <c r="D20" s="701"/>
    </row>
    <row r="21" spans="1:18" ht="15">
      <c r="A21" s="704" t="s">
        <v>2961</v>
      </c>
    </row>
    <row r="22" spans="1:18" ht="111.75" customHeight="1">
      <c r="A22" s="3617" t="s">
        <v>3521</v>
      </c>
      <c r="B22" s="3617"/>
      <c r="C22" s="3617"/>
      <c r="D22" s="3617"/>
      <c r="E22" s="3617"/>
      <c r="F22" s="3617"/>
      <c r="G22" s="3617"/>
      <c r="H22" s="3617"/>
      <c r="I22" s="3617"/>
      <c r="J22" s="3617"/>
      <c r="L22" s="3618" t="s">
        <v>3333</v>
      </c>
      <c r="M22" s="3618"/>
      <c r="N22" s="3618"/>
      <c r="O22" s="3618"/>
      <c r="P22" s="3618"/>
      <c r="Q22" s="3618"/>
      <c r="R22" s="3618"/>
    </row>
    <row r="23" spans="1:18" ht="0.75" hidden="1" customHeight="1">
      <c r="A23" s="1457"/>
      <c r="B23" s="1457"/>
      <c r="C23" s="1457"/>
      <c r="D23" s="1457"/>
      <c r="E23" s="1457"/>
      <c r="F23" s="1457"/>
      <c r="G23" s="1457"/>
      <c r="H23" s="1457"/>
      <c r="I23" s="1457"/>
      <c r="J23" s="1457"/>
    </row>
    <row r="24" spans="1:18" ht="9.75" hidden="1" customHeight="1">
      <c r="A24" s="3619"/>
      <c r="B24" s="3619"/>
      <c r="C24" s="3619"/>
      <c r="D24" s="3619"/>
      <c r="E24" s="3619"/>
      <c r="F24" s="3619"/>
      <c r="G24" s="3619"/>
      <c r="H24" s="3619"/>
      <c r="I24" s="3619"/>
      <c r="J24" s="3619"/>
    </row>
    <row r="25" spans="1:18" ht="10.5" hidden="1" customHeight="1">
      <c r="A25" s="3620"/>
      <c r="B25" s="3620"/>
      <c r="C25" s="3620"/>
      <c r="D25" s="3620"/>
      <c r="E25" s="3620"/>
      <c r="F25" s="3620"/>
      <c r="G25" s="3620"/>
      <c r="H25" s="3620"/>
      <c r="I25" s="3620"/>
      <c r="J25" s="3620"/>
    </row>
    <row r="26" spans="1:18" ht="15">
      <c r="A26" s="704" t="s">
        <v>2962</v>
      </c>
    </row>
    <row r="27" spans="1:18" ht="14.25" customHeight="1">
      <c r="A27" s="3621" t="s">
        <v>2963</v>
      </c>
      <c r="B27" s="3621"/>
      <c r="C27" s="3621"/>
      <c r="D27" s="3621"/>
      <c r="E27" s="3621"/>
      <c r="F27" s="3621"/>
      <c r="G27" s="3621"/>
      <c r="H27" s="3621"/>
      <c r="I27" s="3621"/>
      <c r="J27" s="3621"/>
    </row>
    <row r="28" spans="1:18" ht="14.25" customHeight="1">
      <c r="A28" s="3621"/>
      <c r="B28" s="3621"/>
      <c r="C28" s="3621"/>
      <c r="D28" s="3621"/>
      <c r="E28" s="3621"/>
      <c r="F28" s="3621"/>
      <c r="G28" s="3621"/>
      <c r="H28" s="3621"/>
      <c r="I28" s="3621"/>
      <c r="J28" s="3621"/>
    </row>
    <row r="29" spans="1:18" ht="6.75" customHeight="1">
      <c r="A29" s="3621"/>
      <c r="B29" s="3621"/>
      <c r="C29" s="3621"/>
      <c r="D29" s="3621"/>
      <c r="E29" s="3621"/>
      <c r="F29" s="3621"/>
      <c r="G29" s="3621"/>
      <c r="H29" s="3621"/>
      <c r="I29" s="3621"/>
      <c r="J29" s="3621"/>
    </row>
    <row r="30" spans="1:18" ht="14.25" customHeight="1">
      <c r="A30" s="3621"/>
      <c r="B30" s="3621"/>
      <c r="C30" s="3621"/>
      <c r="D30" s="3621"/>
      <c r="E30" s="3621"/>
      <c r="F30" s="3621"/>
      <c r="G30" s="3621"/>
      <c r="H30" s="3621"/>
      <c r="I30" s="3621"/>
      <c r="J30" s="3621"/>
    </row>
    <row r="31" spans="1:18" ht="14.25" customHeight="1">
      <c r="A31" s="3621"/>
      <c r="B31" s="3621"/>
      <c r="C31" s="3621"/>
      <c r="D31" s="3621"/>
      <c r="E31" s="3621"/>
      <c r="F31" s="3621"/>
      <c r="G31" s="3621"/>
      <c r="H31" s="3621"/>
      <c r="I31" s="3621"/>
      <c r="J31" s="3621"/>
    </row>
    <row r="32" spans="1:18" ht="54.75" customHeight="1">
      <c r="A32" s="3621"/>
      <c r="B32" s="3621"/>
      <c r="C32" s="3621"/>
      <c r="D32" s="3621"/>
      <c r="E32" s="3621"/>
      <c r="F32" s="3621"/>
      <c r="G32" s="3621"/>
      <c r="H32" s="3621"/>
      <c r="I32" s="3621"/>
      <c r="J32" s="3621"/>
    </row>
    <row r="33" spans="1:10" ht="0.75" hidden="1" customHeight="1">
      <c r="A33" s="3621"/>
      <c r="B33" s="3621"/>
      <c r="C33" s="3621"/>
      <c r="D33" s="3621"/>
      <c r="E33" s="3621"/>
      <c r="F33" s="3621"/>
      <c r="G33" s="3621"/>
      <c r="H33" s="3621"/>
      <c r="I33" s="3621"/>
      <c r="J33" s="3621"/>
    </row>
    <row r="34" spans="1:10" ht="3.75" hidden="1" customHeight="1">
      <c r="A34" s="3621"/>
      <c r="B34" s="3621"/>
      <c r="C34" s="3621"/>
      <c r="D34" s="3621"/>
      <c r="E34" s="3621"/>
      <c r="F34" s="3621"/>
      <c r="G34" s="3621"/>
      <c r="H34" s="3621"/>
      <c r="I34" s="3621"/>
      <c r="J34" s="3621"/>
    </row>
    <row r="35" spans="1:10" ht="5.25" customHeight="1">
      <c r="A35" s="1464"/>
      <c r="B35" s="1464"/>
      <c r="C35" s="1464"/>
      <c r="D35" s="1464"/>
      <c r="E35" s="1464"/>
      <c r="F35" s="1464"/>
      <c r="G35" s="1464"/>
      <c r="H35" s="1464"/>
      <c r="I35" s="1464"/>
      <c r="J35" s="1464"/>
    </row>
    <row r="36" spans="1:10" ht="19.5" customHeight="1">
      <c r="A36" s="3619" t="s">
        <v>2964</v>
      </c>
      <c r="B36" s="3619"/>
      <c r="C36" s="3619"/>
      <c r="D36" s="1457"/>
      <c r="E36" s="1457"/>
      <c r="F36" s="1457"/>
      <c r="G36" s="1457"/>
      <c r="H36" s="1457"/>
      <c r="I36" s="1457"/>
      <c r="J36" s="1457"/>
    </row>
    <row r="37" spans="1:10" ht="15" customHeight="1">
      <c r="A37" s="3601"/>
      <c r="B37" s="3601"/>
      <c r="C37" s="3601"/>
      <c r="D37" s="3601"/>
      <c r="E37" s="3601"/>
      <c r="F37" s="3601"/>
      <c r="G37" s="3601"/>
      <c r="H37" s="3601"/>
      <c r="I37" s="3601"/>
      <c r="J37" s="3601"/>
    </row>
    <row r="38" spans="1:10" ht="33.75" customHeight="1">
      <c r="A38" s="3601"/>
      <c r="B38" s="3601"/>
      <c r="C38" s="3601"/>
      <c r="D38" s="3601"/>
      <c r="E38" s="3601"/>
      <c r="F38" s="3601"/>
      <c r="G38" s="3601"/>
      <c r="H38" s="3601"/>
      <c r="I38" s="3601"/>
      <c r="J38" s="3601"/>
    </row>
    <row r="39" spans="1:10" ht="2.25" customHeight="1">
      <c r="A39" s="1457"/>
      <c r="B39" s="1457"/>
      <c r="C39" s="1457"/>
      <c r="D39" s="1457"/>
      <c r="E39" s="1457"/>
      <c r="F39" s="1457"/>
      <c r="G39" s="1457"/>
      <c r="H39" s="1457"/>
      <c r="I39" s="1457"/>
      <c r="J39" s="1457"/>
    </row>
    <row r="40" spans="1:10" ht="15">
      <c r="A40" s="704" t="s">
        <v>2965</v>
      </c>
    </row>
    <row r="41" spans="1:10" ht="135" customHeight="1">
      <c r="A41" s="3620" t="s">
        <v>4292</v>
      </c>
      <c r="B41" s="3620"/>
      <c r="C41" s="3620"/>
      <c r="D41" s="3620"/>
      <c r="E41" s="3620"/>
      <c r="F41" s="3620"/>
      <c r="G41" s="3620"/>
      <c r="H41" s="3620"/>
      <c r="I41" s="3620"/>
      <c r="J41" s="3620"/>
    </row>
    <row r="42" spans="1:10" ht="6" customHeight="1">
      <c r="A42" s="1463"/>
      <c r="B42" s="1463"/>
      <c r="C42" s="1463"/>
      <c r="D42" s="1463"/>
      <c r="E42" s="1463"/>
      <c r="F42" s="1463"/>
      <c r="G42" s="1463"/>
      <c r="H42" s="1463"/>
      <c r="I42" s="1463"/>
      <c r="J42" s="1463"/>
    </row>
    <row r="43" spans="1:10" ht="15">
      <c r="A43" s="704" t="s">
        <v>2966</v>
      </c>
    </row>
    <row r="44" spans="1:10" ht="33" customHeight="1">
      <c r="A44" s="3601" t="s">
        <v>4302</v>
      </c>
      <c r="B44" s="3607"/>
      <c r="C44" s="3607"/>
      <c r="D44" s="3607"/>
      <c r="E44" s="3607"/>
      <c r="F44" s="3607"/>
      <c r="G44" s="3607"/>
      <c r="H44" s="3607"/>
      <c r="I44" s="3607"/>
      <c r="J44" s="3601"/>
    </row>
    <row r="45" spans="1:10" ht="3" customHeight="1"/>
    <row r="46" spans="1:10" ht="72.75" customHeight="1">
      <c r="A46" s="3601" t="s">
        <v>4303</v>
      </c>
      <c r="B46" s="3601"/>
      <c r="C46" s="3601"/>
      <c r="D46" s="3601"/>
      <c r="E46" s="3601"/>
      <c r="F46" s="3601"/>
      <c r="G46" s="3601"/>
      <c r="H46" s="3601"/>
      <c r="I46" s="3601"/>
      <c r="J46" s="3601"/>
    </row>
    <row r="47" spans="1:10" ht="3" customHeight="1">
      <c r="A47" s="1457"/>
      <c r="B47" s="1457"/>
      <c r="C47" s="1457"/>
      <c r="D47" s="1457"/>
      <c r="E47" s="1457"/>
      <c r="F47" s="1457"/>
      <c r="G47" s="1457"/>
      <c r="H47" s="1457"/>
      <c r="I47" s="1457"/>
      <c r="J47" s="1457"/>
    </row>
    <row r="48" spans="1:10" ht="56.25" customHeight="1">
      <c r="A48" s="3601" t="s">
        <v>4304</v>
      </c>
      <c r="B48" s="3601"/>
      <c r="C48" s="3601"/>
      <c r="D48" s="3601"/>
      <c r="E48" s="3601"/>
      <c r="F48" s="3601"/>
      <c r="G48" s="3601"/>
      <c r="H48" s="3601"/>
      <c r="I48" s="3601"/>
      <c r="J48" s="3601"/>
    </row>
    <row r="49" spans="1:17" ht="3" customHeight="1">
      <c r="A49" s="1457"/>
      <c r="B49" s="1457"/>
      <c r="C49" s="1457"/>
      <c r="D49" s="1457"/>
      <c r="E49" s="1457"/>
      <c r="F49" s="1457"/>
      <c r="G49" s="1457"/>
      <c r="H49" s="1457"/>
      <c r="I49" s="1457"/>
      <c r="J49" s="1457"/>
    </row>
    <row r="50" spans="1:17" ht="49.5" customHeight="1">
      <c r="A50" s="3601" t="s">
        <v>4305</v>
      </c>
      <c r="B50" s="3601"/>
      <c r="C50" s="3601"/>
      <c r="D50" s="3601"/>
      <c r="E50" s="3601"/>
      <c r="F50" s="3601"/>
      <c r="G50" s="3601"/>
      <c r="H50" s="3601"/>
      <c r="I50" s="3601"/>
      <c r="J50" s="1457"/>
    </row>
    <row r="51" spans="1:17" ht="3" customHeight="1">
      <c r="A51" s="1457"/>
      <c r="B51" s="1457"/>
      <c r="C51" s="1457"/>
      <c r="D51" s="1457"/>
      <c r="E51" s="1457"/>
      <c r="F51" s="1457"/>
      <c r="G51" s="1457"/>
      <c r="H51" s="1457"/>
      <c r="I51" s="1457"/>
      <c r="J51" s="1457"/>
    </row>
    <row r="52" spans="1:17" ht="54.75" customHeight="1">
      <c r="A52" s="3635" t="s">
        <v>3334</v>
      </c>
      <c r="B52" s="3624"/>
      <c r="C52" s="3624"/>
      <c r="D52" s="3624"/>
      <c r="E52" s="3624"/>
      <c r="F52" s="3624"/>
      <c r="G52" s="3624"/>
      <c r="H52" s="3624"/>
      <c r="I52" s="3624"/>
      <c r="J52" s="1457"/>
    </row>
    <row r="53" spans="1:17" ht="3" customHeight="1">
      <c r="A53" s="1457"/>
      <c r="B53" s="1457"/>
      <c r="C53" s="1457"/>
      <c r="D53" s="1457"/>
      <c r="E53" s="1457"/>
      <c r="F53" s="1457"/>
      <c r="G53" s="1457"/>
      <c r="H53" s="1457"/>
      <c r="I53" s="1457"/>
      <c r="J53" s="1457"/>
    </row>
    <row r="54" spans="1:17" ht="62.25" customHeight="1">
      <c r="A54" s="3624" t="s">
        <v>4306</v>
      </c>
      <c r="B54" s="3624"/>
      <c r="C54" s="3624"/>
      <c r="D54" s="3624"/>
      <c r="E54" s="3624"/>
      <c r="F54" s="3624"/>
      <c r="G54" s="3624"/>
      <c r="H54" s="3624"/>
      <c r="I54" s="3624"/>
      <c r="J54" s="3624"/>
    </row>
    <row r="55" spans="1:17" ht="3" customHeight="1"/>
    <row r="56" spans="1:17" ht="73.5" customHeight="1">
      <c r="A56" s="3601" t="s">
        <v>4307</v>
      </c>
      <c r="B56" s="3601"/>
      <c r="C56" s="3601"/>
      <c r="D56" s="3601"/>
      <c r="E56" s="3601"/>
      <c r="F56" s="3601"/>
      <c r="G56" s="3601"/>
      <c r="H56" s="3601"/>
      <c r="I56" s="3601"/>
      <c r="J56" s="3601"/>
    </row>
    <row r="57" spans="1:17" ht="6" customHeight="1">
      <c r="A57" s="1457" t="s">
        <v>245</v>
      </c>
      <c r="B57" s="1457"/>
      <c r="C57" s="1457"/>
      <c r="D57" s="1457"/>
      <c r="E57" s="1457"/>
      <c r="F57" s="1457"/>
      <c r="G57" s="1457"/>
      <c r="H57" s="1457"/>
      <c r="I57" s="1457"/>
      <c r="J57" s="1457"/>
    </row>
    <row r="58" spans="1:17" ht="15">
      <c r="A58" s="704" t="s">
        <v>2969</v>
      </c>
      <c r="L58" s="705" t="s">
        <v>3513</v>
      </c>
    </row>
    <row r="59" spans="1:17" ht="73.5" customHeight="1">
      <c r="A59" s="3617" t="s">
        <v>2970</v>
      </c>
      <c r="B59" s="3617"/>
      <c r="C59" s="3617"/>
      <c r="D59" s="3617"/>
      <c r="E59" s="3617"/>
      <c r="F59" s="3617"/>
      <c r="G59" s="3617"/>
      <c r="H59" s="3617"/>
      <c r="I59" s="3617"/>
      <c r="J59" s="3617"/>
      <c r="L59" s="706">
        <f>'Closing term sheet'!C133</f>
        <v>800000</v>
      </c>
      <c r="M59" s="707"/>
      <c r="N59" s="707"/>
      <c r="O59" s="707"/>
    </row>
    <row r="60" spans="1:17" ht="7.5" customHeight="1">
      <c r="A60" s="1457"/>
      <c r="B60" s="1457"/>
      <c r="C60" s="1457"/>
      <c r="D60" s="1457"/>
      <c r="E60" s="1457"/>
      <c r="F60" s="1457"/>
      <c r="G60" s="1457"/>
      <c r="H60" s="1457"/>
      <c r="I60" s="1457"/>
      <c r="J60" s="1457"/>
      <c r="L60" s="708" t="s">
        <v>3514</v>
      </c>
      <c r="M60" s="709" t="s">
        <v>3519</v>
      </c>
      <c r="N60" s="710" t="s">
        <v>3516</v>
      </c>
      <c r="O60" s="708" t="s">
        <v>3515</v>
      </c>
      <c r="P60" s="709" t="s">
        <v>3518</v>
      </c>
      <c r="Q60" s="710" t="s">
        <v>3517</v>
      </c>
    </row>
    <row r="61" spans="1:17" ht="78.75" customHeight="1">
      <c r="A61" s="3624" t="s">
        <v>3411</v>
      </c>
      <c r="B61" s="3624"/>
      <c r="C61" s="3624"/>
      <c r="D61" s="3624"/>
      <c r="E61" s="3624"/>
      <c r="F61" s="3624"/>
      <c r="G61" s="3624"/>
      <c r="H61" s="3624"/>
      <c r="I61" s="3624"/>
      <c r="J61" s="711"/>
      <c r="L61" s="712">
        <f>'Part III-Sources of Funds'!I49</f>
        <v>7431014.5</v>
      </c>
      <c r="M61" s="713">
        <f>'Part IV-A-Uses of Funds'!$J$175</f>
        <v>874237</v>
      </c>
      <c r="N61" s="714">
        <f>'Part IV-A-Uses of Funds'!N168</f>
        <v>0.85</v>
      </c>
      <c r="O61" s="712">
        <f>'Part III-Sources of Funds'!I50</f>
        <v>4808303.5</v>
      </c>
      <c r="P61" s="713">
        <f>M61</f>
        <v>874237</v>
      </c>
      <c r="Q61" s="714">
        <f>'Part IV-A-Uses of Funds'!Q168</f>
        <v>0.55000000000000004</v>
      </c>
    </row>
    <row r="62" spans="1:17" ht="18.75" customHeight="1">
      <c r="A62" s="715" t="s">
        <v>2971</v>
      </c>
    </row>
    <row r="63" spans="1:17" ht="159.75" customHeight="1">
      <c r="A63" s="3624" t="s">
        <v>4308</v>
      </c>
      <c r="B63" s="3624"/>
      <c r="C63" s="3624"/>
      <c r="D63" s="3624"/>
      <c r="E63" s="3624"/>
      <c r="F63" s="3624"/>
      <c r="G63" s="3624"/>
      <c r="H63" s="3624"/>
      <c r="I63" s="3624"/>
      <c r="J63" s="3624"/>
      <c r="L63" s="716">
        <f>'Part VII-Pro Forma'!K67</f>
        <v>562382.17364357063</v>
      </c>
      <c r="M63" s="3622" t="s">
        <v>3520</v>
      </c>
      <c r="N63" s="3623"/>
    </row>
    <row r="64" spans="1:17" ht="6" customHeight="1">
      <c r="A64" s="704"/>
    </row>
    <row r="65" spans="1:10" ht="15">
      <c r="A65" s="704" t="s">
        <v>2972</v>
      </c>
    </row>
    <row r="66" spans="1:10" ht="66.75" customHeight="1">
      <c r="A66" s="3624" t="s">
        <v>2973</v>
      </c>
      <c r="B66" s="3624"/>
      <c r="C66" s="3624"/>
      <c r="D66" s="3624"/>
      <c r="E66" s="3624"/>
      <c r="F66" s="3624"/>
      <c r="G66" s="3624"/>
      <c r="H66" s="3624"/>
      <c r="I66" s="3624"/>
      <c r="J66" s="3624"/>
    </row>
    <row r="67" spans="1:10" ht="36" customHeight="1">
      <c r="A67" s="3624" t="s">
        <v>2974</v>
      </c>
      <c r="B67" s="3624"/>
      <c r="C67" s="3624"/>
      <c r="D67" s="3624"/>
      <c r="E67" s="3624"/>
      <c r="F67" s="3624"/>
      <c r="G67" s="3624"/>
      <c r="H67" s="3624"/>
      <c r="I67" s="3624"/>
      <c r="J67" s="3624"/>
    </row>
    <row r="68" spans="1:10" ht="6" customHeight="1">
      <c r="A68" s="704"/>
    </row>
    <row r="69" spans="1:10" ht="15">
      <c r="A69" s="704" t="s">
        <v>2975</v>
      </c>
    </row>
    <row r="70" spans="1:10" ht="105.75" customHeight="1">
      <c r="A70" s="3601" t="s">
        <v>2976</v>
      </c>
      <c r="B70" s="3601"/>
      <c r="C70" s="3601"/>
      <c r="D70" s="3601"/>
      <c r="E70" s="3601"/>
      <c r="F70" s="3601"/>
      <c r="G70" s="3601"/>
      <c r="H70" s="3601"/>
      <c r="I70" s="3601"/>
      <c r="J70" s="3601"/>
    </row>
    <row r="71" spans="1:10" ht="6" customHeight="1">
      <c r="A71" s="704"/>
    </row>
    <row r="72" spans="1:10" ht="15">
      <c r="A72" s="704" t="s">
        <v>2977</v>
      </c>
    </row>
    <row r="73" spans="1:10" ht="66" customHeight="1">
      <c r="A73" s="3601" t="s">
        <v>2978</v>
      </c>
      <c r="B73" s="3601"/>
      <c r="C73" s="3601"/>
      <c r="D73" s="3601"/>
      <c r="E73" s="3601"/>
      <c r="F73" s="3601"/>
      <c r="G73" s="3601"/>
      <c r="H73" s="3601"/>
      <c r="I73" s="3601"/>
      <c r="J73" s="3601"/>
    </row>
    <row r="74" spans="1:10" s="1464" customFormat="1" ht="6" customHeight="1">
      <c r="A74" s="3601"/>
      <c r="B74" s="3601"/>
      <c r="C74" s="3601"/>
      <c r="D74" s="3601"/>
      <c r="E74" s="3601"/>
      <c r="F74" s="3601"/>
      <c r="G74" s="3601"/>
      <c r="H74" s="3601"/>
      <c r="I74" s="3601"/>
      <c r="J74" s="3601"/>
    </row>
    <row r="75" spans="1:10" ht="16.5" customHeight="1">
      <c r="A75" s="1466" t="s">
        <v>2979</v>
      </c>
      <c r="B75" s="703"/>
      <c r="C75" s="703"/>
      <c r="D75" s="1467"/>
      <c r="E75" s="703"/>
      <c r="F75" s="703"/>
      <c r="G75" s="703"/>
      <c r="H75" s="703"/>
      <c r="I75" s="703"/>
      <c r="J75" s="717"/>
    </row>
    <row r="76" spans="1:10" s="1464" customFormat="1" ht="63" customHeight="1">
      <c r="A76" s="3601" t="s">
        <v>4520</v>
      </c>
      <c r="B76" s="3601"/>
      <c r="C76" s="3601"/>
      <c r="D76" s="3601"/>
      <c r="E76" s="3601"/>
      <c r="F76" s="3601"/>
      <c r="G76" s="3601"/>
      <c r="H76" s="3601"/>
      <c r="I76" s="3601"/>
      <c r="J76" s="3601"/>
    </row>
    <row r="77" spans="1:10" s="1464" customFormat="1" ht="6" customHeight="1">
      <c r="A77" s="1457"/>
      <c r="B77" s="1457"/>
      <c r="C77" s="1457"/>
      <c r="D77" s="1457"/>
      <c r="E77" s="1457"/>
      <c r="F77" s="1457"/>
      <c r="G77" s="1457"/>
      <c r="H77" s="1457"/>
      <c r="I77" s="1457"/>
      <c r="J77" s="1457"/>
    </row>
    <row r="78" spans="1:10" ht="16.5" customHeight="1">
      <c r="A78" s="3626" t="s">
        <v>2980</v>
      </c>
      <c r="B78" s="3627"/>
      <c r="C78" s="3627"/>
      <c r="D78" s="703"/>
      <c r="E78" s="703"/>
      <c r="F78" s="703"/>
      <c r="G78" s="703"/>
      <c r="H78" s="703"/>
      <c r="I78" s="703"/>
      <c r="J78" s="717"/>
    </row>
    <row r="79" spans="1:10" ht="41.25" customHeight="1">
      <c r="A79" s="3624" t="s">
        <v>4309</v>
      </c>
      <c r="B79" s="3628"/>
      <c r="C79" s="3628"/>
      <c r="D79" s="3628"/>
      <c r="E79" s="3628"/>
      <c r="F79" s="3628"/>
      <c r="G79" s="3628"/>
      <c r="H79" s="3628"/>
      <c r="I79" s="3628"/>
      <c r="J79" s="3628"/>
    </row>
    <row r="80" spans="1:10" ht="6" customHeight="1">
      <c r="A80" s="718"/>
      <c r="B80" s="703"/>
      <c r="C80" s="703"/>
      <c r="D80" s="703"/>
      <c r="E80" s="703"/>
      <c r="F80" s="703"/>
      <c r="G80" s="703"/>
      <c r="H80" s="703"/>
      <c r="I80" s="703"/>
      <c r="J80" s="717"/>
    </row>
    <row r="81" spans="1:15" ht="15">
      <c r="A81" s="704" t="s">
        <v>2981</v>
      </c>
    </row>
    <row r="82" spans="1:15" ht="139.5" customHeight="1">
      <c r="A82" s="3624" t="s">
        <v>2982</v>
      </c>
      <c r="B82" s="3624"/>
      <c r="C82" s="3624"/>
      <c r="D82" s="3624"/>
      <c r="E82" s="3624"/>
      <c r="F82" s="3624"/>
      <c r="G82" s="3624"/>
      <c r="H82" s="3624"/>
      <c r="I82" s="3624"/>
      <c r="J82" s="3624"/>
      <c r="L82" s="3629" t="s">
        <v>2983</v>
      </c>
      <c r="M82" s="3629"/>
      <c r="N82" s="3629"/>
    </row>
    <row r="83" spans="1:15" ht="6" customHeight="1">
      <c r="A83" s="1465"/>
      <c r="B83" s="1465"/>
      <c r="C83" s="1465"/>
      <c r="D83" s="1465"/>
      <c r="E83" s="1465"/>
      <c r="F83" s="1465"/>
      <c r="G83" s="1465"/>
      <c r="H83" s="1465"/>
      <c r="I83" s="1465"/>
      <c r="J83" s="1465"/>
      <c r="L83" s="1468"/>
      <c r="M83" s="1468"/>
      <c r="N83" s="1468"/>
    </row>
    <row r="84" spans="1:15" ht="17.25" customHeight="1">
      <c r="A84" s="704" t="s">
        <v>2984</v>
      </c>
    </row>
    <row r="85" spans="1:15" ht="111" customHeight="1">
      <c r="A85" s="3624" t="s">
        <v>2985</v>
      </c>
      <c r="B85" s="3624"/>
      <c r="C85" s="3624"/>
      <c r="D85" s="3624"/>
      <c r="E85" s="3624"/>
      <c r="F85" s="3624"/>
      <c r="G85" s="3624"/>
      <c r="H85" s="3624"/>
      <c r="I85" s="3624"/>
      <c r="J85" s="3624"/>
      <c r="L85" s="3629" t="s">
        <v>2986</v>
      </c>
      <c r="M85" s="3629"/>
      <c r="N85" s="719" t="e">
        <f>'After-Tax Analysis'!G66</f>
        <v>#VALUE!</v>
      </c>
      <c r="O85" s="720" t="s">
        <v>2987</v>
      </c>
    </row>
    <row r="86" spans="1:15" ht="6" customHeight="1">
      <c r="A86" s="704"/>
    </row>
    <row r="87" spans="1:15" ht="15">
      <c r="A87" s="704" t="s">
        <v>2988</v>
      </c>
    </row>
    <row r="88" spans="1:15" ht="118.5" customHeight="1">
      <c r="A88" s="3601" t="s">
        <v>2989</v>
      </c>
      <c r="B88" s="3601"/>
      <c r="C88" s="3601"/>
      <c r="D88" s="3601"/>
      <c r="E88" s="3601"/>
      <c r="F88" s="3601"/>
      <c r="G88" s="3601"/>
      <c r="H88" s="3601"/>
      <c r="I88" s="3601"/>
      <c r="J88" s="3601"/>
    </row>
    <row r="89" spans="1:15" ht="20.25" customHeight="1">
      <c r="A89" s="3607" t="s">
        <v>2990</v>
      </c>
      <c r="B89" s="3607"/>
      <c r="C89" s="3607"/>
      <c r="D89" s="3601"/>
      <c r="E89" s="1457"/>
      <c r="F89" s="1457"/>
      <c r="G89" s="1457"/>
      <c r="H89" s="1457"/>
      <c r="I89" s="1457"/>
      <c r="J89" s="1457"/>
    </row>
    <row r="90" spans="1:15" ht="109.5" customHeight="1">
      <c r="A90" s="3632" t="s">
        <v>2991</v>
      </c>
      <c r="B90" s="3633"/>
      <c r="C90" s="3633"/>
      <c r="D90" s="3633"/>
      <c r="E90" s="3633"/>
      <c r="F90" s="3633"/>
      <c r="G90" s="3633"/>
      <c r="H90" s="3633"/>
      <c r="I90" s="3633"/>
      <c r="J90" s="3633"/>
    </row>
    <row r="91" spans="1:15" ht="11.25" customHeight="1">
      <c r="A91" s="704"/>
    </row>
    <row r="92" spans="1:15" ht="15">
      <c r="A92" s="704" t="s">
        <v>2992</v>
      </c>
    </row>
    <row r="93" spans="1:15" ht="122.25" customHeight="1">
      <c r="A93" s="3617" t="s">
        <v>2993</v>
      </c>
      <c r="B93" s="3617"/>
      <c r="C93" s="3617"/>
      <c r="D93" s="3617"/>
      <c r="E93" s="3617"/>
      <c r="F93" s="3617"/>
      <c r="G93" s="3617"/>
      <c r="H93" s="3617"/>
      <c r="I93" s="3617"/>
      <c r="J93" s="3617"/>
      <c r="L93" s="1395">
        <f>'Part VII-Pro Forma'!K67</f>
        <v>562382.17364357063</v>
      </c>
      <c r="M93" s="3625" t="s">
        <v>2994</v>
      </c>
      <c r="N93" s="3625"/>
    </row>
    <row r="94" spans="1:15" ht="11.25" hidden="1" customHeight="1">
      <c r="A94" s="1457"/>
      <c r="B94" s="1457"/>
      <c r="C94" s="1457"/>
      <c r="D94" s="1457"/>
      <c r="E94" s="1457"/>
      <c r="F94" s="1457"/>
      <c r="G94" s="1457"/>
      <c r="H94" s="1457"/>
      <c r="I94" s="1457"/>
      <c r="J94" s="1457"/>
    </row>
    <row r="95" spans="1:15" ht="12" hidden="1" customHeight="1">
      <c r="A95" s="1457"/>
      <c r="B95" s="1457"/>
      <c r="C95" s="1457"/>
      <c r="D95" s="1457"/>
      <c r="E95" s="1457"/>
      <c r="F95" s="1457"/>
      <c r="G95" s="1457"/>
      <c r="H95" s="1457"/>
      <c r="I95" s="1457"/>
      <c r="J95" s="717"/>
    </row>
    <row r="96" spans="1:15" ht="6" customHeight="1">
      <c r="A96" s="1457"/>
      <c r="B96" s="1457"/>
      <c r="C96" s="1457"/>
      <c r="D96" s="1457"/>
      <c r="E96" s="1457"/>
      <c r="F96" s="1457"/>
      <c r="G96" s="1457"/>
      <c r="H96" s="1457"/>
      <c r="I96" s="1457"/>
      <c r="J96" s="717"/>
    </row>
    <row r="97" spans="1:10" ht="17.25" customHeight="1">
      <c r="A97" s="3607" t="s">
        <v>2995</v>
      </c>
      <c r="B97" s="3607"/>
      <c r="C97" s="3607"/>
      <c r="D97" s="1457"/>
      <c r="E97" s="1457"/>
      <c r="F97" s="1457"/>
      <c r="G97" s="1457"/>
      <c r="H97" s="1457"/>
      <c r="I97" s="1457"/>
      <c r="J97" s="717"/>
    </row>
    <row r="98" spans="1:10" ht="37.5" customHeight="1">
      <c r="A98" s="3624" t="s">
        <v>2996</v>
      </c>
      <c r="B98" s="3624"/>
      <c r="C98" s="3624"/>
      <c r="D98" s="3624"/>
      <c r="E98" s="3624"/>
      <c r="F98" s="3624"/>
      <c r="G98" s="3624"/>
      <c r="H98" s="3624"/>
      <c r="I98" s="3624"/>
      <c r="J98" s="3624"/>
    </row>
    <row r="99" spans="1:10" ht="6" customHeight="1">
      <c r="A99" s="704"/>
    </row>
    <row r="100" spans="1:10" ht="15">
      <c r="A100" s="704" t="s">
        <v>2997</v>
      </c>
    </row>
    <row r="101" spans="1:10" ht="43.5" customHeight="1">
      <c r="A101" s="3601" t="s">
        <v>2998</v>
      </c>
      <c r="B101" s="3601"/>
      <c r="C101" s="3601"/>
      <c r="D101" s="3601"/>
      <c r="E101" s="3601"/>
      <c r="F101" s="3601"/>
      <c r="G101" s="3601"/>
      <c r="H101" s="3601"/>
      <c r="I101" s="3601"/>
      <c r="J101" s="3601"/>
    </row>
    <row r="102" spans="1:10" ht="6" customHeight="1">
      <c r="A102" s="1457"/>
      <c r="B102" s="1457"/>
      <c r="C102" s="1457"/>
      <c r="D102" s="1457"/>
      <c r="E102" s="1457"/>
      <c r="F102" s="1457"/>
      <c r="G102" s="1457"/>
      <c r="H102" s="1457"/>
      <c r="I102" s="1457"/>
      <c r="J102" s="1457"/>
    </row>
    <row r="103" spans="1:10" ht="15">
      <c r="A103" s="704" t="s">
        <v>2999</v>
      </c>
    </row>
    <row r="105" spans="1:10">
      <c r="A105" s="3634" t="s">
        <v>3000</v>
      </c>
      <c r="B105" s="3634"/>
      <c r="C105" s="3634"/>
      <c r="D105" s="3634"/>
      <c r="E105" s="3634"/>
      <c r="F105" s="3634"/>
      <c r="G105" s="3634"/>
      <c r="H105" s="3634"/>
      <c r="I105" s="3634"/>
      <c r="J105" s="3634"/>
    </row>
    <row r="107" spans="1:10" ht="15" thickBot="1">
      <c r="A107" s="721"/>
      <c r="B107" s="698" t="s">
        <v>3001</v>
      </c>
    </row>
    <row r="110" spans="1:10" ht="15" thickBot="1">
      <c r="A110" s="721"/>
      <c r="B110" s="698" t="s">
        <v>3002</v>
      </c>
    </row>
    <row r="112" spans="1:10">
      <c r="A112" s="698" t="s">
        <v>3003</v>
      </c>
    </row>
    <row r="115" spans="1:10" ht="15" thickBot="1">
      <c r="A115" s="721"/>
      <c r="B115" s="721"/>
      <c r="C115" s="721"/>
      <c r="D115" s="721"/>
      <c r="E115" s="721"/>
      <c r="H115" s="721"/>
      <c r="I115" s="721"/>
      <c r="J115" s="721"/>
    </row>
    <row r="116" spans="1:10">
      <c r="A116" s="3631" t="s">
        <v>4310</v>
      </c>
      <c r="B116" s="3631"/>
      <c r="C116" s="3631"/>
      <c r="D116" s="3631"/>
      <c r="E116" s="3631"/>
      <c r="H116" s="3631" t="s">
        <v>3004</v>
      </c>
      <c r="I116" s="3631"/>
      <c r="J116" s="3631"/>
    </row>
    <row r="118" spans="1:10" ht="15" thickBot="1">
      <c r="A118" s="698" t="s">
        <v>3005</v>
      </c>
      <c r="B118" s="721"/>
      <c r="C118" s="721"/>
      <c r="H118" s="698" t="s">
        <v>3005</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A48:J48"/>
    <mergeCell ref="A22:J22"/>
    <mergeCell ref="L22:R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698" customWidth="1"/>
    <col min="2" max="2" width="1.7109375" style="698" customWidth="1"/>
    <col min="3" max="3" width="13" style="698" customWidth="1"/>
    <col min="4" max="4" width="11.28515625" style="698" customWidth="1"/>
    <col min="5" max="5" width="14.7109375" style="698" customWidth="1"/>
    <col min="6" max="6" width="15.140625" style="698" customWidth="1"/>
    <col min="7" max="7" width="11.7109375" style="698" customWidth="1"/>
    <col min="8" max="8" width="11.42578125" style="698" customWidth="1"/>
    <col min="9" max="9" width="10.5703125" style="698" customWidth="1"/>
    <col min="10" max="10" width="6" style="698" customWidth="1"/>
    <col min="11" max="11" width="12.7109375" style="698" customWidth="1"/>
    <col min="12" max="12" width="10.85546875" style="698" customWidth="1"/>
    <col min="13" max="13" width="26.28515625" style="698" customWidth="1"/>
    <col min="14" max="14" width="9.140625" style="698"/>
    <col min="15" max="15" width="12.42578125" style="698" customWidth="1"/>
    <col min="16" max="16" width="9.140625" style="698"/>
    <col min="17" max="17" width="11.7109375" style="698" bestFit="1" customWidth="1"/>
    <col min="18" max="16384" width="9.140625" style="698"/>
  </cols>
  <sheetData>
    <row r="1" spans="1:15" ht="13.5" customHeight="1">
      <c r="A1" s="699" t="s">
        <v>3066</v>
      </c>
      <c r="B1" s="783"/>
      <c r="C1" s="698" t="str">
        <f>Overview!C8</f>
        <v>Tindall Fields III</v>
      </c>
    </row>
    <row r="2" spans="1:15" ht="13.5" customHeight="1"/>
    <row r="3" spans="1:15" ht="13.5" customHeight="1">
      <c r="A3" s="699" t="s">
        <v>3067</v>
      </c>
      <c r="C3" s="698" t="s">
        <v>3068</v>
      </c>
      <c r="E3" s="784">
        <f>SUM('Part IV-A-Uses of Funds'!J149,'Part IV-A-Uses of Funds'!M149,'Part IV-A-Uses of Funds'!P149)</f>
        <v>13071128</v>
      </c>
      <c r="F3" s="1467" t="s">
        <v>3069</v>
      </c>
      <c r="H3" s="1440">
        <v>27.5</v>
      </c>
      <c r="I3" s="698" t="s">
        <v>2485</v>
      </c>
      <c r="K3" s="703" t="s">
        <v>3090</v>
      </c>
      <c r="M3" s="1467"/>
      <c r="O3" s="785"/>
    </row>
    <row r="4" spans="1:15" ht="13.5" customHeight="1">
      <c r="C4" s="698" t="s">
        <v>3578</v>
      </c>
      <c r="E4" s="784">
        <f>SUM('Part IV-A-Uses of Funds'!G85:H89)</f>
        <v>35000</v>
      </c>
      <c r="F4" s="1467" t="s">
        <v>4522</v>
      </c>
      <c r="H4" s="699">
        <f>'Part III-Sources of Funds'!M37</f>
        <v>30</v>
      </c>
      <c r="I4" s="698" t="s">
        <v>2485</v>
      </c>
      <c r="K4" s="786" t="s">
        <v>3335</v>
      </c>
      <c r="M4" s="1467"/>
    </row>
    <row r="5" spans="1:15" ht="13.5" customHeight="1">
      <c r="C5" s="698" t="s">
        <v>3579</v>
      </c>
      <c r="E5" s="784">
        <f>SUM('Part IV-A-Uses of Funds'!G96:H102)</f>
        <v>164839</v>
      </c>
      <c r="F5" s="1467" t="s">
        <v>4521</v>
      </c>
      <c r="H5" s="1440">
        <v>15</v>
      </c>
      <c r="I5" s="698" t="s">
        <v>2485</v>
      </c>
      <c r="K5" s="785">
        <f>-E6</f>
        <v>-12239318</v>
      </c>
    </row>
    <row r="6" spans="1:15" ht="13.5" customHeight="1">
      <c r="C6" s="698" t="s">
        <v>3070</v>
      </c>
      <c r="E6" s="787">
        <f>'Part III-Sources of Funds'!$I$49+'Part III-Sources of Funds'!$I$50</f>
        <v>12239318</v>
      </c>
      <c r="F6" s="1467" t="s">
        <v>3071</v>
      </c>
      <c r="H6" s="788">
        <v>0.35</v>
      </c>
      <c r="K6" s="785" t="e">
        <f>C24</f>
        <v>#VALUE!</v>
      </c>
      <c r="M6" s="698" t="s">
        <v>3072</v>
      </c>
      <c r="O6" s="789">
        <f>Overview!K32</f>
        <v>0</v>
      </c>
    </row>
    <row r="7" spans="1:15" ht="13.5" customHeight="1">
      <c r="K7" s="785" t="e">
        <f>D24</f>
        <v>#VALUE!</v>
      </c>
      <c r="O7" s="790"/>
    </row>
    <row r="8" spans="1:15" ht="13.5" customHeight="1">
      <c r="A8" s="699" t="s">
        <v>2496</v>
      </c>
      <c r="C8" s="791">
        <v>1</v>
      </c>
      <c r="D8" s="791">
        <v>2</v>
      </c>
      <c r="E8" s="791">
        <v>3</v>
      </c>
      <c r="F8" s="791">
        <v>4</v>
      </c>
      <c r="G8" s="791">
        <v>5</v>
      </c>
      <c r="H8" s="791">
        <v>6</v>
      </c>
      <c r="I8" s="791">
        <v>7</v>
      </c>
      <c r="K8" s="785" t="e">
        <f>E24</f>
        <v>#VALUE!</v>
      </c>
      <c r="M8" s="698" t="s">
        <v>3073</v>
      </c>
      <c r="O8" s="1401" t="e">
        <f>'Part VII-Pro Forma'!$K$67+'Part VII-Pro Forma'!$K$68+'Part VII-Pro Forma'!$K$69</f>
        <v>#VALUE!</v>
      </c>
    </row>
    <row r="9" spans="1:15" ht="13.5" customHeight="1">
      <c r="A9" s="698" t="s">
        <v>3074</v>
      </c>
      <c r="C9" s="792">
        <f>'Part VII-Pro Forma'!B30</f>
        <v>44173.330188278131</v>
      </c>
      <c r="D9" s="792">
        <f>'Part VII-Pro Forma'!C30</f>
        <v>43326.388220278175</v>
      </c>
      <c r="E9" s="792">
        <f>'Part VII-Pro Forma'!D30</f>
        <v>42366.235512918116</v>
      </c>
      <c r="F9" s="792">
        <f>'Part VII-Pro Forma'!E30</f>
        <v>41287.5218944109</v>
      </c>
      <c r="G9" s="792">
        <f>'Part VII-Pro Forma'!F30</f>
        <v>40084.73141082361</v>
      </c>
      <c r="H9" s="792">
        <f>'Part VII-Pro Forma'!G30</f>
        <v>38752.176647073262</v>
      </c>
      <c r="I9" s="792">
        <f>'Part VII-Pro Forma'!H30</f>
        <v>37283.992863441781</v>
      </c>
      <c r="K9" s="785" t="e">
        <f>F24</f>
        <v>#VALUE!</v>
      </c>
      <c r="N9" s="793" t="s">
        <v>3076</v>
      </c>
    </row>
    <row r="10" spans="1:15" ht="13.5" customHeight="1">
      <c r="A10" s="698" t="s">
        <v>3075</v>
      </c>
      <c r="C10" s="1398">
        <f>'Part III-Sources of Funds'!I37-'Part VII-Pro Forma'!B37</f>
        <v>34410.361635804409</v>
      </c>
      <c r="D10" s="794">
        <f>'Part VII-Pro Forma'!B37-'Part VII-Pro Forma'!C37</f>
        <v>35104.912614190485</v>
      </c>
      <c r="E10" s="794">
        <f>'Part VII-Pro Forma'!C37-'Part VII-Pro Forma'!D37</f>
        <v>35813.482656563399</v>
      </c>
      <c r="F10" s="794">
        <f>'Part VII-Pro Forma'!D37-'Part VII-Pro Forma'!E37</f>
        <v>36536.354728696868</v>
      </c>
      <c r="G10" s="794">
        <f>'Part VII-Pro Forma'!E37-'Part VII-Pro Forma'!F37</f>
        <v>37273.817507846281</v>
      </c>
      <c r="H10" s="794">
        <f>'Part VII-Pro Forma'!F37-'Part VII-Pro Forma'!G37</f>
        <v>38026.165498032235</v>
      </c>
      <c r="I10" s="794">
        <f>'Part VII-Pro Forma'!G37-'Part VII-Pro Forma'!H37</f>
        <v>38793.699147648178</v>
      </c>
      <c r="K10" s="785" t="e">
        <f>G24</f>
        <v>#VALUE!</v>
      </c>
      <c r="N10" s="793" t="s">
        <v>3077</v>
      </c>
      <c r="O10" s="790"/>
    </row>
    <row r="11" spans="1:15" ht="13.5" customHeight="1">
      <c r="A11" s="698" t="s">
        <v>3075</v>
      </c>
      <c r="C11" s="1398" t="e">
        <f>'Part III-Sources of Funds'!I38-'Part VII-Pro Forma'!B38</f>
        <v>#VALUE!</v>
      </c>
      <c r="D11" s="794" t="e">
        <f>'Part VII-Pro Forma'!B38-'Part VII-Pro Forma'!C38</f>
        <v>#VALUE!</v>
      </c>
      <c r="E11" s="794" t="e">
        <f>'Part VII-Pro Forma'!C38-'Part VII-Pro Forma'!D38</f>
        <v>#VALUE!</v>
      </c>
      <c r="F11" s="794" t="e">
        <f>'Part VII-Pro Forma'!D38-'Part VII-Pro Forma'!E38</f>
        <v>#VALUE!</v>
      </c>
      <c r="G11" s="794" t="e">
        <f>'Part VII-Pro Forma'!E38-'Part VII-Pro Forma'!F38</f>
        <v>#VALUE!</v>
      </c>
      <c r="H11" s="794" t="e">
        <f>'Part VII-Pro Forma'!F38-'Part VII-Pro Forma'!G38</f>
        <v>#VALUE!</v>
      </c>
      <c r="I11" s="794" t="e">
        <f>'Part VII-Pro Forma'!G38-'Part VII-Pro Forma'!H38</f>
        <v>#VALUE!</v>
      </c>
      <c r="K11" s="785" t="e">
        <f>H24</f>
        <v>#VALUE!</v>
      </c>
      <c r="O11" s="790"/>
    </row>
    <row r="12" spans="1:15" ht="13.5" customHeight="1">
      <c r="A12" s="698" t="s">
        <v>3075</v>
      </c>
      <c r="C12" s="1398"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3079</v>
      </c>
      <c r="N12" s="795">
        <v>0.06</v>
      </c>
      <c r="O12" s="790">
        <f>N12*O6</f>
        <v>0</v>
      </c>
    </row>
    <row r="13" spans="1:15" ht="13.5" customHeight="1">
      <c r="A13" s="796" t="s">
        <v>3581</v>
      </c>
      <c r="B13" s="797"/>
      <c r="C13" s="1399">
        <f>'Part VII-Pro Forma'!B21</f>
        <v>-23390</v>
      </c>
      <c r="D13" s="1399">
        <f>'Part VII-Pro Forma'!C21</f>
        <v>-24091.7</v>
      </c>
      <c r="E13" s="1399">
        <f>'Part VII-Pro Forma'!D21</f>
        <v>-24814.450999999997</v>
      </c>
      <c r="F13" s="1399">
        <f>'Part VII-Pro Forma'!E21</f>
        <v>-25558.884529999999</v>
      </c>
      <c r="G13" s="1399">
        <f>'Part VII-Pro Forma'!F21</f>
        <v>-26325.651065899998</v>
      </c>
      <c r="H13" s="1399">
        <f>'Part VII-Pro Forma'!G21</f>
        <v>-27115.420597876997</v>
      </c>
      <c r="I13" s="1399">
        <f>'Part VII-Pro Forma'!H21</f>
        <v>-27928.883215813308</v>
      </c>
      <c r="K13" s="785" t="e">
        <f>C44</f>
        <v>#VALUE!</v>
      </c>
      <c r="O13" s="790"/>
    </row>
    <row r="14" spans="1:15" ht="13.5" customHeight="1">
      <c r="A14" s="796" t="s">
        <v>3582</v>
      </c>
      <c r="B14" s="797"/>
      <c r="C14" s="1399">
        <f>'Part VII-Pro Forma'!B29</f>
        <v>0</v>
      </c>
      <c r="D14" s="1399">
        <f>'Part VII-Pro Forma'!C29</f>
        <v>0</v>
      </c>
      <c r="E14" s="1399">
        <f>'Part VII-Pro Forma'!D29</f>
        <v>0</v>
      </c>
      <c r="F14" s="1399">
        <f>'Part VII-Pro Forma'!E29</f>
        <v>0</v>
      </c>
      <c r="G14" s="1399">
        <f>'Part VII-Pro Forma'!F29</f>
        <v>0</v>
      </c>
      <c r="H14" s="1399">
        <f>'Part VII-Pro Forma'!G29</f>
        <v>0</v>
      </c>
      <c r="I14" s="1399">
        <f>'Part VII-Pro Forma'!H29</f>
        <v>0</v>
      </c>
      <c r="K14" s="785" t="e">
        <f>D44</f>
        <v>#VALUE!</v>
      </c>
      <c r="M14" s="698" t="s">
        <v>3082</v>
      </c>
      <c r="O14" s="790" t="e">
        <f>O6-O8-O12</f>
        <v>#VALUE!</v>
      </c>
    </row>
    <row r="15" spans="1:15" ht="13.5" customHeight="1">
      <c r="A15" s="798" t="s">
        <v>3078</v>
      </c>
      <c r="C15" s="799">
        <f t="shared" ref="C15:I15" si="0">$E$3/$H$3</f>
        <v>475313.74545454548</v>
      </c>
      <c r="D15" s="799">
        <f t="shared" si="0"/>
        <v>475313.74545454548</v>
      </c>
      <c r="E15" s="799">
        <f t="shared" si="0"/>
        <v>475313.74545454548</v>
      </c>
      <c r="F15" s="799">
        <f t="shared" si="0"/>
        <v>475313.74545454548</v>
      </c>
      <c r="G15" s="799">
        <f t="shared" si="0"/>
        <v>475313.74545454548</v>
      </c>
      <c r="H15" s="799">
        <f t="shared" si="0"/>
        <v>475313.74545454548</v>
      </c>
      <c r="I15" s="799">
        <f t="shared" si="0"/>
        <v>475313.74545454548</v>
      </c>
      <c r="K15" s="785" t="e">
        <f>E44</f>
        <v>#VALUE!</v>
      </c>
      <c r="O15" s="790"/>
    </row>
    <row r="16" spans="1:15" ht="13.5" customHeight="1">
      <c r="A16" s="798" t="s">
        <v>3080</v>
      </c>
      <c r="C16" s="799">
        <f>IF(C$8&lt;=$H$4,($E$4/$H$4),0)+IF(C$8&lt;=$H$5,($E$5/$H$5),0)</f>
        <v>12155.933333333332</v>
      </c>
      <c r="D16" s="799">
        <f t="shared" ref="D16:I16" si="1">IF(D$8&lt;=$H$4,($E$4/$H$4),0)+IF(D$8&lt;=$H$5,($E$5/$H$5),0)</f>
        <v>12155.933333333332</v>
      </c>
      <c r="E16" s="799">
        <f t="shared" si="1"/>
        <v>12155.933333333332</v>
      </c>
      <c r="F16" s="799">
        <f t="shared" si="1"/>
        <v>12155.933333333332</v>
      </c>
      <c r="G16" s="799">
        <f t="shared" si="1"/>
        <v>12155.933333333332</v>
      </c>
      <c r="H16" s="799">
        <f t="shared" si="1"/>
        <v>12155.933333333332</v>
      </c>
      <c r="I16" s="799">
        <f t="shared" si="1"/>
        <v>12155.933333333332</v>
      </c>
      <c r="K16" s="785" t="e">
        <f>F44</f>
        <v>#VALUE!</v>
      </c>
      <c r="M16" s="698" t="s">
        <v>3084</v>
      </c>
      <c r="O16" s="790">
        <f>E3</f>
        <v>13071128</v>
      </c>
    </row>
    <row r="17" spans="1:17" ht="13.5" customHeight="1">
      <c r="A17" s="798" t="s">
        <v>3081</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3078</v>
      </c>
      <c r="O17" s="790">
        <f>20*(E3/H3)</f>
        <v>9506274.9090909101</v>
      </c>
    </row>
    <row r="18" spans="1:17" ht="13.5" customHeight="1">
      <c r="A18" s="798" t="s">
        <v>3083</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3088</v>
      </c>
      <c r="O19" s="790">
        <f>O16-O17</f>
        <v>3564853.0909090899</v>
      </c>
    </row>
    <row r="20" spans="1:17" ht="13.5" customHeight="1">
      <c r="A20" s="698" t="s">
        <v>3085</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3086</v>
      </c>
      <c r="C21" s="800">
        <f>'Part IV-A-Uses of Funds'!$J$175</f>
        <v>874237</v>
      </c>
      <c r="D21" s="800">
        <f t="shared" ref="D21:I21" si="5">C21</f>
        <v>874237</v>
      </c>
      <c r="E21" s="800">
        <f t="shared" si="5"/>
        <v>874237</v>
      </c>
      <c r="F21" s="800">
        <f t="shared" si="5"/>
        <v>874237</v>
      </c>
      <c r="G21" s="800">
        <f t="shared" si="5"/>
        <v>874237</v>
      </c>
      <c r="H21" s="800">
        <f t="shared" si="5"/>
        <v>874237</v>
      </c>
      <c r="I21" s="800">
        <f t="shared" si="5"/>
        <v>874237</v>
      </c>
      <c r="J21" s="698" t="s">
        <v>245</v>
      </c>
      <c r="K21" s="785" t="e">
        <f>D64</f>
        <v>#VALUE!</v>
      </c>
      <c r="O21" s="790"/>
    </row>
    <row r="22" spans="1:17" ht="13.5" customHeight="1">
      <c r="A22" s="698" t="s">
        <v>3087</v>
      </c>
      <c r="C22" s="800">
        <f>C21</f>
        <v>874237</v>
      </c>
      <c r="D22" s="800">
        <f t="shared" ref="D22:I22" si="6">D21</f>
        <v>874237</v>
      </c>
      <c r="E22" s="800">
        <f t="shared" si="6"/>
        <v>874237</v>
      </c>
      <c r="F22" s="800">
        <f t="shared" si="6"/>
        <v>874237</v>
      </c>
      <c r="G22" s="800">
        <f t="shared" si="6"/>
        <v>874237</v>
      </c>
      <c r="H22" s="800">
        <f t="shared" si="6"/>
        <v>874237</v>
      </c>
      <c r="I22" s="800">
        <f t="shared" si="6"/>
        <v>874237</v>
      </c>
      <c r="K22" s="785" t="e">
        <f>E64</f>
        <v>#VALUE!</v>
      </c>
      <c r="M22" s="698" t="s">
        <v>3072</v>
      </c>
      <c r="O22" s="790">
        <f>O6</f>
        <v>0</v>
      </c>
    </row>
    <row r="23" spans="1:17" ht="13.5" customHeight="1">
      <c r="A23" s="698" t="s">
        <v>3089</v>
      </c>
      <c r="C23" s="792">
        <v>0</v>
      </c>
      <c r="D23" s="792">
        <v>0</v>
      </c>
      <c r="E23" s="792">
        <v>0</v>
      </c>
      <c r="F23" s="792">
        <v>0</v>
      </c>
      <c r="G23" s="792">
        <v>0</v>
      </c>
      <c r="H23" s="792">
        <v>0</v>
      </c>
      <c r="I23" s="792">
        <v>0</v>
      </c>
      <c r="K23" s="785" t="e">
        <f>F64</f>
        <v>#VALUE!</v>
      </c>
      <c r="M23" s="698" t="s">
        <v>3091</v>
      </c>
      <c r="O23" s="790">
        <f>O19</f>
        <v>3564853.0909090899</v>
      </c>
    </row>
    <row r="24" spans="1:17" ht="13.5" customHeight="1">
      <c r="A24" s="698" t="s">
        <v>3090</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3092</v>
      </c>
      <c r="O25" s="790">
        <f>O22-O23</f>
        <v>-3564853.0909090899</v>
      </c>
      <c r="Q25" s="801"/>
    </row>
    <row r="26" spans="1:17" ht="13.5" customHeight="1">
      <c r="A26" s="802"/>
      <c r="B26" s="802"/>
      <c r="C26" s="802"/>
      <c r="D26" s="802"/>
      <c r="E26" s="802"/>
      <c r="F26" s="802"/>
      <c r="G26" s="802"/>
      <c r="H26" s="802"/>
      <c r="I26" s="802"/>
      <c r="K26" s="785"/>
      <c r="O26" s="790"/>
    </row>
    <row r="27" spans="1:17" ht="13.5" customHeight="1">
      <c r="K27" s="785"/>
      <c r="M27" s="698" t="s">
        <v>3093</v>
      </c>
      <c r="N27" s="803"/>
      <c r="O27" s="795">
        <v>0.2</v>
      </c>
    </row>
    <row r="28" spans="1:17" ht="13.5" customHeight="1">
      <c r="A28" s="699" t="s">
        <v>2496</v>
      </c>
      <c r="B28" s="699"/>
      <c r="C28" s="791">
        <v>8</v>
      </c>
      <c r="D28" s="791">
        <v>9</v>
      </c>
      <c r="E28" s="791">
        <v>10</v>
      </c>
      <c r="F28" s="791">
        <v>11</v>
      </c>
      <c r="G28" s="791">
        <v>12</v>
      </c>
      <c r="H28" s="791">
        <v>13</v>
      </c>
      <c r="I28" s="791">
        <v>14</v>
      </c>
      <c r="N28" s="803"/>
      <c r="O28" s="803"/>
    </row>
    <row r="29" spans="1:17" ht="13.5" customHeight="1">
      <c r="A29" s="698" t="s">
        <v>3074</v>
      </c>
      <c r="C29" s="792">
        <f>'Part VII-Pro Forma'!I30</f>
        <v>35674.131941793421</v>
      </c>
      <c r="D29" s="792">
        <f>'Part VII-Pro Forma'!J30</f>
        <v>33917.356135497677</v>
      </c>
      <c r="E29" s="792">
        <f>'Part VII-Pro Forma'!K30</f>
        <v>32006.231616875062</v>
      </c>
      <c r="F29" s="792">
        <f>'Part VII-Pro Forma'!B60</f>
        <v>29934.121815792918</v>
      </c>
      <c r="G29" s="792">
        <f>'Part VII-Pro Forma'!C60</f>
        <v>27695.18054283932</v>
      </c>
      <c r="H29" s="792">
        <f>'Part VII-Pro Forma'!D60</f>
        <v>25280.344890301967</v>
      </c>
      <c r="I29" s="792">
        <f>'Part VII-Pro Forma'!E60</f>
        <v>22684.327903964593</v>
      </c>
      <c r="N29" s="803"/>
      <c r="O29" s="803"/>
    </row>
    <row r="30" spans="1:17" ht="13.5" customHeight="1">
      <c r="A30" s="698" t="s">
        <v>3075</v>
      </c>
      <c r="C30" s="794">
        <f>'Part VII-Pro Forma'!H37-'Part VII-Pro Forma'!I37</f>
        <v>39576.724969445495</v>
      </c>
      <c r="D30" s="794">
        <f>'Part VII-Pro Forma'!I37-'Part VII-Pro Forma'!J37</f>
        <v>40375.555662937695</v>
      </c>
      <c r="E30" s="794">
        <f>'Part VII-Pro Forma'!J37-'Part VII-Pro Forma'!K37</f>
        <v>41190.510239276453</v>
      </c>
      <c r="F30" s="1396">
        <f>'Part VII-Pro Forma'!K37-'Part VII-Pro Forma'!B67</f>
        <v>42021.914148648619</v>
      </c>
      <c r="G30" s="1396">
        <f>'Part VII-Pro Forma'!B67-'Part VII-Pro Forma'!C67</f>
        <v>42870.099410242517</v>
      </c>
      <c r="H30" s="1396">
        <f>'Part VII-Pro Forma'!C67-'Part VII-Pro Forma'!D67</f>
        <v>43735.404744840227</v>
      </c>
      <c r="I30" s="1396">
        <f>'Part VII-Pro Forma'!D67-'Part VII-Pro Forma'!E67</f>
        <v>44618.175710084499</v>
      </c>
    </row>
    <row r="31" spans="1:17" ht="13.5" customHeight="1">
      <c r="A31" s="698" t="s">
        <v>3075</v>
      </c>
      <c r="C31" s="794" t="e">
        <f>'Part VII-Pro Forma'!H38-'Part VII-Pro Forma'!I38</f>
        <v>#VALUE!</v>
      </c>
      <c r="D31" s="794" t="e">
        <f>'Part VII-Pro Forma'!I38-'Part VII-Pro Forma'!J38</f>
        <v>#VALUE!</v>
      </c>
      <c r="E31" s="794" t="e">
        <f>'Part VII-Pro Forma'!J38-'Part VII-Pro Forma'!K38</f>
        <v>#VALUE!</v>
      </c>
      <c r="F31" s="1396" t="e">
        <f>'Part VII-Pro Forma'!K38-'Part VII-Pro Forma'!B68</f>
        <v>#VALUE!</v>
      </c>
      <c r="G31" s="1396" t="e">
        <f>'Part VII-Pro Forma'!B68-'Part VII-Pro Forma'!C68</f>
        <v>#VALUE!</v>
      </c>
      <c r="H31" s="1396" t="e">
        <f>'Part VII-Pro Forma'!C68-'Part VII-Pro Forma'!D68</f>
        <v>#VALUE!</v>
      </c>
      <c r="I31" s="1396" t="e">
        <f>'Part VII-Pro Forma'!D68-'Part VII-Pro Forma'!E68</f>
        <v>#VALUE!</v>
      </c>
      <c r="K31" s="698" t="s">
        <v>245</v>
      </c>
      <c r="M31" s="698" t="s">
        <v>3094</v>
      </c>
      <c r="O31" s="792">
        <f>O25*O27</f>
        <v>-712970.61818181805</v>
      </c>
    </row>
    <row r="32" spans="1:17" ht="13.5" customHeight="1">
      <c r="A32" s="698" t="s">
        <v>3075</v>
      </c>
      <c r="C32" s="794" t="e">
        <f>'Part VII-Pro Forma'!H39-'Part VII-Pro Forma'!I39</f>
        <v>#VALUE!</v>
      </c>
      <c r="D32" s="794" t="e">
        <f>'Part VII-Pro Forma'!I39-'Part VII-Pro Forma'!J39</f>
        <v>#VALUE!</v>
      </c>
      <c r="E32" s="794" t="e">
        <f>'Part VII-Pro Forma'!J39-'Part VII-Pro Forma'!K39</f>
        <v>#VALUE!</v>
      </c>
      <c r="F32" s="1396" t="e">
        <f>'Part VII-Pro Forma'!K39-'Part VII-Pro Forma'!B69</f>
        <v>#VALUE!</v>
      </c>
      <c r="G32" s="1396" t="e">
        <f>'Part VII-Pro Forma'!B69-'Part VII-Pro Forma'!C69</f>
        <v>#VALUE!</v>
      </c>
      <c r="H32" s="1396" t="e">
        <f>'Part VII-Pro Forma'!C69-'Part VII-Pro Forma'!D69</f>
        <v>#VALUE!</v>
      </c>
      <c r="I32" s="1396" t="e">
        <f>'Part VII-Pro Forma'!D69-'Part VII-Pro Forma'!E69</f>
        <v>#VALUE!</v>
      </c>
    </row>
    <row r="33" spans="1:15" ht="13.5" customHeight="1">
      <c r="A33" s="796" t="s">
        <v>3581</v>
      </c>
      <c r="B33" s="797"/>
      <c r="C33" s="1399">
        <f>'Part VII-Pro Forma'!I21</f>
        <v>-28766.74971228771</v>
      </c>
      <c r="D33" s="1399">
        <f>'Part VII-Pro Forma'!J21</f>
        <v>-29629.752203656335</v>
      </c>
      <c r="E33" s="1399">
        <f>'Part VII-Pro Forma'!K21</f>
        <v>-30518.644769766026</v>
      </c>
      <c r="F33" s="1399">
        <f>'Part VII-Pro Forma'!B51</f>
        <v>-31434.20411285901</v>
      </c>
      <c r="G33" s="1399">
        <f>'Part VII-Pro Forma'!C51</f>
        <v>-32377.230236244781</v>
      </c>
      <c r="H33" s="1399">
        <f>'Part VII-Pro Forma'!D51</f>
        <v>-33348.547143332122</v>
      </c>
      <c r="I33" s="1399">
        <f>'Part VII-Pro Forma'!E51</f>
        <v>-34349.003557632081</v>
      </c>
      <c r="K33" s="698" t="s">
        <v>245</v>
      </c>
      <c r="M33" s="698" t="s">
        <v>3095</v>
      </c>
      <c r="O33" s="792" t="e">
        <f>O14-O31</f>
        <v>#VALUE!</v>
      </c>
    </row>
    <row r="34" spans="1:15" ht="13.5" customHeight="1">
      <c r="A34" s="796" t="s">
        <v>3582</v>
      </c>
      <c r="B34" s="797"/>
      <c r="C34" s="1399">
        <f>'Part VII-Pro Forma'!I29</f>
        <v>0</v>
      </c>
      <c r="D34" s="1399">
        <f>'Part VII-Pro Forma'!J29</f>
        <v>0</v>
      </c>
      <c r="E34" s="1399">
        <f>'Part VII-Pro Forma'!K29</f>
        <v>0</v>
      </c>
      <c r="F34" s="1399">
        <f>'Part VII-Pro Forma'!B59</f>
        <v>0</v>
      </c>
      <c r="G34" s="1399">
        <f>'Part VII-Pro Forma'!C59</f>
        <v>0</v>
      </c>
      <c r="H34" s="1399">
        <f>'Part VII-Pro Forma'!D59</f>
        <v>0</v>
      </c>
      <c r="I34" s="1399">
        <f>'Part VII-Pro Forma'!E59</f>
        <v>0</v>
      </c>
    </row>
    <row r="35" spans="1:15" ht="13.5" customHeight="1">
      <c r="A35" s="798" t="s">
        <v>3078</v>
      </c>
      <c r="C35" s="799">
        <f t="shared" ref="C35:I35" si="8">$E$3/$H$3</f>
        <v>475313.74545454548</v>
      </c>
      <c r="D35" s="799">
        <f t="shared" si="8"/>
        <v>475313.74545454548</v>
      </c>
      <c r="E35" s="799">
        <f t="shared" si="8"/>
        <v>475313.74545454548</v>
      </c>
      <c r="F35" s="799">
        <f t="shared" si="8"/>
        <v>475313.74545454548</v>
      </c>
      <c r="G35" s="799">
        <f t="shared" si="8"/>
        <v>475313.74545454548</v>
      </c>
      <c r="H35" s="799">
        <f t="shared" si="8"/>
        <v>475313.74545454548</v>
      </c>
      <c r="I35" s="799">
        <f t="shared" si="8"/>
        <v>475313.74545454548</v>
      </c>
    </row>
    <row r="36" spans="1:15" ht="13.5" customHeight="1">
      <c r="A36" s="798" t="s">
        <v>3080</v>
      </c>
      <c r="C36" s="792">
        <f>IF(C$28&lt;=$H$4,($E$4/$H$4),0)+IF(C$28&lt;=$H$5,($E$5/$H$5),0)</f>
        <v>12155.933333333332</v>
      </c>
      <c r="D36" s="792">
        <f t="shared" ref="D36:I36" si="9">IF(D$28&lt;=$H$4,($E$4/$H$4),0)+IF(D$28&lt;=$H$5,($E$5/$H$5),0)</f>
        <v>12155.933333333332</v>
      </c>
      <c r="E36" s="792">
        <f t="shared" si="9"/>
        <v>12155.933333333332</v>
      </c>
      <c r="F36" s="792">
        <f t="shared" si="9"/>
        <v>12155.933333333332</v>
      </c>
      <c r="G36" s="792">
        <f t="shared" si="9"/>
        <v>12155.933333333332</v>
      </c>
      <c r="H36" s="792">
        <f t="shared" si="9"/>
        <v>12155.933333333332</v>
      </c>
      <c r="I36" s="792">
        <f t="shared" si="9"/>
        <v>12155.933333333332</v>
      </c>
    </row>
    <row r="37" spans="1:15" ht="13.5" customHeight="1">
      <c r="A37" s="798" t="s">
        <v>3081</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3083</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3085</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3086</v>
      </c>
      <c r="C41" s="800">
        <f>C21</f>
        <v>874237</v>
      </c>
      <c r="D41" s="800">
        <f>C41</f>
        <v>874237</v>
      </c>
      <c r="E41" s="800">
        <f>D41</f>
        <v>874237</v>
      </c>
      <c r="F41" s="800">
        <v>0</v>
      </c>
      <c r="G41" s="800">
        <v>0</v>
      </c>
      <c r="H41" s="800">
        <v>0</v>
      </c>
      <c r="I41" s="800">
        <v>0</v>
      </c>
    </row>
    <row r="42" spans="1:15" ht="13.5" customHeight="1">
      <c r="A42" s="698" t="s">
        <v>3087</v>
      </c>
      <c r="C42" s="800">
        <f>C22</f>
        <v>874237</v>
      </c>
      <c r="D42" s="800">
        <f>C42</f>
        <v>874237</v>
      </c>
      <c r="E42" s="800">
        <f>D42</f>
        <v>874237</v>
      </c>
      <c r="F42" s="800">
        <v>0</v>
      </c>
      <c r="G42" s="800">
        <v>0</v>
      </c>
      <c r="H42" s="800">
        <v>0</v>
      </c>
      <c r="I42" s="800">
        <v>0</v>
      </c>
    </row>
    <row r="43" spans="1:15" ht="13.5" customHeight="1">
      <c r="A43" s="698" t="s">
        <v>3089</v>
      </c>
      <c r="C43" s="794">
        <v>0</v>
      </c>
      <c r="D43" s="794">
        <v>0</v>
      </c>
      <c r="E43" s="794">
        <v>0</v>
      </c>
      <c r="F43" s="794">
        <v>0</v>
      </c>
      <c r="G43" s="794">
        <v>0</v>
      </c>
      <c r="H43" s="794">
        <v>0</v>
      </c>
      <c r="I43" s="794">
        <v>0</v>
      </c>
    </row>
    <row r="44" spans="1:15" ht="13.5" customHeight="1">
      <c r="A44" s="698" t="s">
        <v>3090</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2496</v>
      </c>
      <c r="B48" s="699"/>
      <c r="C48" s="791">
        <v>15</v>
      </c>
      <c r="D48" s="699">
        <v>16</v>
      </c>
      <c r="E48" s="699">
        <v>17</v>
      </c>
      <c r="F48" s="699">
        <v>18</v>
      </c>
      <c r="G48" s="699">
        <v>19</v>
      </c>
      <c r="H48" s="699">
        <v>20</v>
      </c>
    </row>
    <row r="49" spans="1:10" ht="13.5" customHeight="1">
      <c r="A49" s="698" t="s">
        <v>3074</v>
      </c>
      <c r="C49" s="792">
        <f>'Part VII-Pro Forma'!F60</f>
        <v>19898.611018529358</v>
      </c>
      <c r="D49" s="792">
        <f>'Part VII-Pro Forma'!G57</f>
        <v>0</v>
      </c>
      <c r="E49" s="792">
        <f>'Part VII-Pro Forma'!H57</f>
        <v>0</v>
      </c>
      <c r="F49" s="792">
        <f>'Part VII-Pro Forma'!I57</f>
        <v>0</v>
      </c>
      <c r="G49" s="792">
        <f>'Part VII-Pro Forma'!J57</f>
        <v>0</v>
      </c>
      <c r="H49" s="792">
        <f>'Part VII-Pro Forma'!K57</f>
        <v>0</v>
      </c>
    </row>
    <row r="50" spans="1:10" ht="13.5" customHeight="1">
      <c r="A50" s="698" t="s">
        <v>3075</v>
      </c>
      <c r="C50" s="1397">
        <f>'Part VII-Pro Forma'!E67-'Part VII-Pro Forma'!F67</f>
        <v>45518.764838476665</v>
      </c>
      <c r="D50" s="1397">
        <f>'Part VII-Pro Forma'!F67-'Part VII-Pro Forma'!G67</f>
        <v>46437.531778159086</v>
      </c>
      <c r="E50" s="1397">
        <f>'Part VII-Pro Forma'!G67-'Part VII-Pro Forma'!H67</f>
        <v>47374.843436540454</v>
      </c>
      <c r="F50" s="1397">
        <f>'Part VII-Pro Forma'!H67-'Part VII-Pro Forma'!I67</f>
        <v>48331.074126819149</v>
      </c>
      <c r="G50" s="1397">
        <f>'Part VII-Pro Forma'!I67-'Part VII-Pro Forma'!J67</f>
        <v>49306.605717463885</v>
      </c>
      <c r="H50" s="1397">
        <f>'Part VII-Pro Forma'!J67-'Part VII-Pro Forma'!K67</f>
        <v>50301.827784712776</v>
      </c>
    </row>
    <row r="51" spans="1:10" ht="13.5" customHeight="1">
      <c r="A51" s="698" t="s">
        <v>3075</v>
      </c>
      <c r="C51" s="1397" t="e">
        <f>'Part VII-Pro Forma'!E68-'Part VII-Pro Forma'!F68</f>
        <v>#VALUE!</v>
      </c>
      <c r="D51" s="1397" t="e">
        <f>'Part VII-Pro Forma'!F68-'Part VII-Pro Forma'!G68</f>
        <v>#VALUE!</v>
      </c>
      <c r="E51" s="1397" t="e">
        <f>'Part VII-Pro Forma'!G68-'Part VII-Pro Forma'!H68</f>
        <v>#VALUE!</v>
      </c>
      <c r="F51" s="1397" t="e">
        <f>'Part VII-Pro Forma'!H68-'Part VII-Pro Forma'!I68</f>
        <v>#VALUE!</v>
      </c>
      <c r="G51" s="1397" t="e">
        <f>'Part VII-Pro Forma'!I68-'Part VII-Pro Forma'!J68</f>
        <v>#VALUE!</v>
      </c>
      <c r="H51" s="1397" t="e">
        <f>'Part VII-Pro Forma'!J68-'Part VII-Pro Forma'!K68</f>
        <v>#VALUE!</v>
      </c>
    </row>
    <row r="52" spans="1:10" ht="13.5" customHeight="1">
      <c r="A52" s="698" t="s">
        <v>3075</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3581</v>
      </c>
      <c r="B53" s="797"/>
      <c r="C53" s="1399">
        <f>'Part VII-Pro Forma'!F51</f>
        <v>-35379.473664361045</v>
      </c>
      <c r="D53" s="1399">
        <f>'Part VII-Pro Forma'!G51</f>
        <v>-36440.857874291883</v>
      </c>
      <c r="E53" s="1399">
        <f>'Part VII-Pro Forma'!H51</f>
        <v>-37534.083610520633</v>
      </c>
      <c r="F53" s="1399">
        <f>'Part VII-Pro Forma'!I51</f>
        <v>-38660.106118836251</v>
      </c>
      <c r="G53" s="1399">
        <f>'Part VII-Pro Forma'!J51</f>
        <v>-39819.909302401335</v>
      </c>
      <c r="H53" s="1399">
        <f>'Part VII-Pro Forma'!K51</f>
        <v>-41014.506581473375</v>
      </c>
    </row>
    <row r="54" spans="1:10" ht="13.5" customHeight="1">
      <c r="A54" s="796" t="s">
        <v>3582</v>
      </c>
      <c r="C54" s="1400">
        <f>'Part VII-Pro Forma'!F59</f>
        <v>0</v>
      </c>
      <c r="D54" s="1400">
        <f>'Part VII-Pro Forma'!G59</f>
        <v>0</v>
      </c>
      <c r="E54" s="1400">
        <f>'Part VII-Pro Forma'!H59</f>
        <v>0</v>
      </c>
      <c r="F54" s="1400">
        <f>'Part VII-Pro Forma'!I59</f>
        <v>0</v>
      </c>
      <c r="G54" s="1400">
        <f>'Part VII-Pro Forma'!J59</f>
        <v>0</v>
      </c>
      <c r="H54" s="1400">
        <f>'Part VII-Pro Forma'!K59</f>
        <v>0</v>
      </c>
    </row>
    <row r="55" spans="1:10" ht="13.5" customHeight="1">
      <c r="A55" s="798" t="s">
        <v>3078</v>
      </c>
      <c r="C55" s="799">
        <f t="shared" ref="C55:H55" si="14">$E$3/$H$3</f>
        <v>475313.74545454548</v>
      </c>
      <c r="D55" s="799">
        <f t="shared" si="14"/>
        <v>475313.74545454548</v>
      </c>
      <c r="E55" s="799">
        <f t="shared" si="14"/>
        <v>475313.74545454548</v>
      </c>
      <c r="F55" s="799">
        <f t="shared" si="14"/>
        <v>475313.74545454548</v>
      </c>
      <c r="G55" s="799">
        <f t="shared" si="14"/>
        <v>475313.74545454548</v>
      </c>
      <c r="H55" s="799">
        <f t="shared" si="14"/>
        <v>475313.74545454548</v>
      </c>
    </row>
    <row r="56" spans="1:10" ht="13.5" customHeight="1">
      <c r="A56" s="798" t="s">
        <v>3080</v>
      </c>
      <c r="C56" s="792">
        <f t="shared" ref="C56:H56" si="15">IF(C$48&lt;=$H$4,($E$4/$H$4),0)+IF(C$48&lt;=$H$5,($E$5/$H$5),0)</f>
        <v>12155.933333333332</v>
      </c>
      <c r="D56" s="792">
        <f t="shared" si="15"/>
        <v>1166.6666666666667</v>
      </c>
      <c r="E56" s="792">
        <f t="shared" si="15"/>
        <v>1166.6666666666667</v>
      </c>
      <c r="F56" s="792">
        <f t="shared" si="15"/>
        <v>1166.6666666666667</v>
      </c>
      <c r="G56" s="792">
        <f t="shared" si="15"/>
        <v>1166.6666666666667</v>
      </c>
      <c r="H56" s="792">
        <f t="shared" si="15"/>
        <v>1166.6666666666667</v>
      </c>
    </row>
    <row r="57" spans="1:10" ht="13.5" customHeight="1">
      <c r="A57" s="798" t="s">
        <v>3081</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3083</v>
      </c>
      <c r="C58" s="799" t="e">
        <f t="shared" ref="C58:H58" si="17">C57*$H$6</f>
        <v>#VALUE!</v>
      </c>
      <c r="D58" s="799" t="e">
        <f t="shared" si="17"/>
        <v>#VALUE!</v>
      </c>
      <c r="E58" s="799" t="e">
        <f t="shared" si="17"/>
        <v>#VALUE!</v>
      </c>
      <c r="F58" s="799" t="e">
        <f t="shared" si="17"/>
        <v>#VALUE!</v>
      </c>
      <c r="G58" s="799" t="e">
        <f t="shared" si="17"/>
        <v>#VALUE!</v>
      </c>
      <c r="H58" s="799" t="e">
        <f t="shared" si="17"/>
        <v>#VALUE!</v>
      </c>
      <c r="J58" s="698" t="s">
        <v>245</v>
      </c>
    </row>
    <row r="59" spans="1:10" s="805" customFormat="1" ht="16.5" customHeight="1">
      <c r="A59" s="698"/>
      <c r="B59" s="698"/>
      <c r="C59" s="792"/>
      <c r="D59" s="792"/>
      <c r="E59" s="792"/>
      <c r="F59" s="792"/>
      <c r="G59" s="792"/>
      <c r="H59" s="792"/>
      <c r="I59" s="698"/>
      <c r="J59" s="698"/>
    </row>
    <row r="60" spans="1:10">
      <c r="A60" s="698" t="s">
        <v>3085</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3086</v>
      </c>
      <c r="C61" s="799">
        <v>0</v>
      </c>
      <c r="D61" s="799">
        <v>0</v>
      </c>
      <c r="E61" s="799">
        <v>0</v>
      </c>
      <c r="F61" s="799">
        <v>0</v>
      </c>
      <c r="G61" s="799">
        <v>0</v>
      </c>
      <c r="H61" s="792">
        <v>0</v>
      </c>
    </row>
    <row r="62" spans="1:10">
      <c r="A62" s="698" t="s">
        <v>3087</v>
      </c>
      <c r="C62" s="799">
        <v>0</v>
      </c>
      <c r="D62" s="792">
        <v>0</v>
      </c>
      <c r="E62" s="792">
        <v>0</v>
      </c>
      <c r="F62" s="792">
        <v>0</v>
      </c>
      <c r="G62" s="792">
        <v>0</v>
      </c>
      <c r="H62" s="792">
        <v>0</v>
      </c>
    </row>
    <row r="63" spans="1:10">
      <c r="A63" s="698" t="s">
        <v>3089</v>
      </c>
      <c r="C63" s="792">
        <v>0</v>
      </c>
      <c r="D63" s="792">
        <v>0</v>
      </c>
      <c r="E63" s="792">
        <v>0</v>
      </c>
      <c r="F63" s="792">
        <v>0</v>
      </c>
      <c r="G63" s="792">
        <v>0</v>
      </c>
      <c r="H63" s="792" t="e">
        <f>O33</f>
        <v>#VALUE!</v>
      </c>
    </row>
    <row r="64" spans="1:10">
      <c r="A64" s="698" t="s">
        <v>3090</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3096</v>
      </c>
      <c r="G66" s="3636" t="e">
        <f>IRR(K5:K25)</f>
        <v>#VALUE!</v>
      </c>
      <c r="H66" s="3637"/>
      <c r="I66" s="805"/>
      <c r="J66" s="80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zoomScaleNormal="100" workbookViewId="0">
      <selection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3.9" customHeight="1">
      <c r="A1" s="2434" t="str">
        <f>CONCATENATE("PART ONE - PROJECT INFORMATION"," - ",$O$6," ",$F$34,", ",'Part I-Project Information'!F38,", ",'Part I-Project Information'!J39," County")</f>
        <v>PART ONE - PROJECT INFORMATION - 2018-013 Tindall Fields III, Macon, Bibb County</v>
      </c>
      <c r="B1" s="2435"/>
      <c r="C1" s="2435"/>
      <c r="D1" s="2435"/>
      <c r="E1" s="2435"/>
      <c r="F1" s="2435"/>
      <c r="G1" s="2435"/>
      <c r="H1" s="2435"/>
      <c r="I1" s="2435"/>
      <c r="J1" s="2435"/>
      <c r="K1" s="2435"/>
      <c r="L1" s="2435"/>
      <c r="M1" s="2435"/>
      <c r="N1" s="2435"/>
      <c r="O1" s="2435"/>
      <c r="P1" s="2436"/>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2463" t="s">
        <v>4518</v>
      </c>
      <c r="B3" s="2463"/>
      <c r="C3" s="2463"/>
      <c r="D3" s="2463"/>
      <c r="E3" s="2463"/>
      <c r="F3" s="2463"/>
      <c r="G3" s="2463"/>
      <c r="H3" s="2463"/>
      <c r="I3" s="2463"/>
      <c r="J3" s="2463"/>
      <c r="K3" s="2463"/>
      <c r="L3" s="2463"/>
      <c r="M3" s="2463"/>
      <c r="N3" s="2463"/>
      <c r="O3" s="2463"/>
      <c r="P3" s="2463"/>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2380</v>
      </c>
      <c r="F5" s="306"/>
      <c r="G5" s="279" t="s">
        <v>445</v>
      </c>
      <c r="L5" s="931"/>
      <c r="P5" s="1180" t="s">
        <v>3898</v>
      </c>
    </row>
    <row r="6" spans="1:16" s="305" customFormat="1" ht="12" customHeight="1" thickBot="1">
      <c r="B6" s="2465" t="s">
        <v>4551</v>
      </c>
      <c r="C6" s="2465"/>
      <c r="D6" s="2465"/>
      <c r="E6" s="1433"/>
      <c r="F6" s="308"/>
      <c r="G6" s="279" t="s">
        <v>446</v>
      </c>
      <c r="H6" s="1571"/>
      <c r="I6" s="1571"/>
      <c r="J6" s="1571"/>
      <c r="O6" s="2437" t="s">
        <v>4737</v>
      </c>
      <c r="P6" s="2438"/>
    </row>
    <row r="7" spans="1:16" s="305" customFormat="1" ht="12" customHeight="1">
      <c r="B7" s="2465"/>
      <c r="C7" s="2465"/>
      <c r="D7" s="2465"/>
      <c r="E7" s="1433"/>
      <c r="F7" s="547"/>
      <c r="G7" s="179" t="s">
        <v>3339</v>
      </c>
      <c r="H7" s="1571"/>
      <c r="I7" s="1571"/>
      <c r="J7" s="1571"/>
    </row>
    <row r="8" spans="1:16" s="305" customFormat="1" ht="6" customHeight="1">
      <c r="A8" s="501"/>
      <c r="B8" s="307"/>
      <c r="C8" s="307"/>
      <c r="D8" s="307"/>
      <c r="E8" s="1571"/>
      <c r="H8" s="1571"/>
      <c r="I8" s="1571"/>
      <c r="M8" s="1571"/>
    </row>
    <row r="9" spans="1:16" s="305" customFormat="1" ht="13.15" customHeight="1">
      <c r="A9" s="307" t="s">
        <v>622</v>
      </c>
      <c r="B9" s="307" t="s">
        <v>2391</v>
      </c>
      <c r="D9" s="280"/>
      <c r="E9" s="309"/>
      <c r="F9" s="310" t="s">
        <v>3826</v>
      </c>
      <c r="I9" s="2439">
        <f>'Part IV-A-Uses of Funds'!$J$175</f>
        <v>874237</v>
      </c>
      <c r="J9" s="2440"/>
      <c r="L9" s="305" t="s">
        <v>3827</v>
      </c>
      <c r="O9" s="2441">
        <f>'Part III-Sources of Funds'!$E$11</f>
        <v>0</v>
      </c>
      <c r="P9" s="2442"/>
    </row>
    <row r="10" spans="1:16" s="305" customFormat="1" ht="6" customHeight="1">
      <c r="A10" s="307"/>
      <c r="B10" s="307"/>
      <c r="D10" s="280"/>
      <c r="E10" s="309"/>
      <c r="F10" s="309"/>
      <c r="I10" s="311"/>
      <c r="N10" s="312"/>
    </row>
    <row r="11" spans="1:16" s="305" customFormat="1" ht="13.15" customHeight="1">
      <c r="A11" s="311" t="s">
        <v>748</v>
      </c>
      <c r="B11" s="307" t="s">
        <v>2056</v>
      </c>
      <c r="F11" s="2443" t="s">
        <v>4553</v>
      </c>
      <c r="G11" s="2444"/>
      <c r="H11" s="2445"/>
      <c r="I11" s="2400" t="s">
        <v>3741</v>
      </c>
      <c r="J11" s="526" t="s">
        <v>3989</v>
      </c>
      <c r="K11" s="316"/>
      <c r="L11" s="1571"/>
      <c r="O11" s="2446" t="s">
        <v>4552</v>
      </c>
      <c r="P11" s="2447"/>
    </row>
    <row r="12" spans="1:16" s="305" customFormat="1" ht="12.75" customHeight="1">
      <c r="A12" s="501"/>
      <c r="B12" s="2464" t="s">
        <v>4519</v>
      </c>
      <c r="C12" s="2464"/>
      <c r="D12" s="2464"/>
      <c r="H12" s="1571"/>
      <c r="J12" s="527" t="s">
        <v>2751</v>
      </c>
      <c r="K12" s="277"/>
      <c r="M12" s="1571"/>
      <c r="O12" s="2468" t="s">
        <v>3013</v>
      </c>
      <c r="P12" s="2469"/>
    </row>
    <row r="13" spans="1:16" s="305" customFormat="1" ht="3" customHeight="1">
      <c r="A13" s="501"/>
      <c r="B13" s="2464"/>
      <c r="C13" s="2464"/>
      <c r="D13" s="2464"/>
      <c r="H13" s="1571"/>
      <c r="J13" s="527"/>
      <c r="K13" s="277"/>
      <c r="M13" s="1571"/>
    </row>
    <row r="14" spans="1:16" s="305" customFormat="1" ht="12.75" customHeight="1">
      <c r="A14" s="501"/>
      <c r="B14" s="2464"/>
      <c r="C14" s="2464"/>
      <c r="D14" s="2464"/>
      <c r="F14" s="2401" t="s">
        <v>3013</v>
      </c>
      <c r="G14" s="1559" t="s">
        <v>3824</v>
      </c>
    </row>
    <row r="15" spans="1:16" s="305" customFormat="1" ht="12.75" customHeight="1">
      <c r="A15" s="501"/>
      <c r="B15" s="305" t="s">
        <v>3899</v>
      </c>
      <c r="D15" s="316"/>
      <c r="F15" s="2470"/>
      <c r="G15" s="2471"/>
      <c r="H15" s="2471"/>
      <c r="I15" s="2471"/>
      <c r="J15" s="2471"/>
      <c r="K15" s="2472"/>
      <c r="L15" s="305" t="s">
        <v>3823</v>
      </c>
      <c r="O15" s="2473"/>
      <c r="P15" s="2474"/>
    </row>
    <row r="16" spans="1:16" s="305" customFormat="1" ht="12.75" customHeight="1">
      <c r="A16" s="501"/>
      <c r="B16" s="305" t="s">
        <v>3825</v>
      </c>
      <c r="F16" s="2401" t="s">
        <v>3013</v>
      </c>
      <c r="G16" s="305" t="s">
        <v>3882</v>
      </c>
      <c r="H16" s="1571"/>
      <c r="I16" s="179"/>
      <c r="J16" s="527"/>
      <c r="M16" s="2475" t="s">
        <v>2904</v>
      </c>
      <c r="N16" s="2476"/>
      <c r="O16" s="2476"/>
      <c r="P16" s="2477"/>
    </row>
    <row r="17" spans="1:16" s="305" customFormat="1" ht="6" customHeight="1">
      <c r="I17" s="280"/>
      <c r="J17" s="280"/>
      <c r="K17" s="280"/>
      <c r="L17" s="280"/>
      <c r="M17" s="280"/>
      <c r="N17" s="280"/>
      <c r="O17" s="280"/>
      <c r="P17" s="280"/>
    </row>
    <row r="18" spans="1:16" s="305" customFormat="1" ht="13.15" customHeight="1">
      <c r="A18" s="311" t="s">
        <v>750</v>
      </c>
      <c r="B18" s="307" t="s">
        <v>4538</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15" customHeight="1">
      <c r="B20" s="305" t="s">
        <v>3909</v>
      </c>
      <c r="F20" s="2460" t="s">
        <v>4554</v>
      </c>
      <c r="G20" s="2461"/>
      <c r="H20" s="2462"/>
      <c r="I20" s="305" t="s">
        <v>1810</v>
      </c>
      <c r="J20" s="2460" t="s">
        <v>4555</v>
      </c>
      <c r="K20" s="2461"/>
      <c r="L20" s="2462"/>
      <c r="M20" s="340" t="s">
        <v>1996</v>
      </c>
      <c r="N20" s="2473" t="s">
        <v>4556</v>
      </c>
      <c r="O20" s="2478"/>
      <c r="P20" s="2474"/>
    </row>
    <row r="21" spans="1:16" s="305" customFormat="1" ht="13.15" customHeight="1">
      <c r="B21" s="310" t="s">
        <v>1997</v>
      </c>
      <c r="F21" s="2448" t="s">
        <v>4557</v>
      </c>
      <c r="G21" s="2449"/>
      <c r="H21" s="2449"/>
      <c r="I21" s="2450"/>
      <c r="J21" s="2449"/>
      <c r="K21" s="2450"/>
      <c r="L21" s="2451"/>
      <c r="M21" s="2455" t="s">
        <v>3908</v>
      </c>
      <c r="N21" s="2456"/>
      <c r="O21" s="2456"/>
      <c r="P21" s="2456"/>
    </row>
    <row r="22" spans="1:16" s="305" customFormat="1" ht="13.15" customHeight="1">
      <c r="B22" s="310" t="s">
        <v>624</v>
      </c>
      <c r="F22" s="2448" t="s">
        <v>1332</v>
      </c>
      <c r="G22" s="2449"/>
      <c r="H22" s="2454"/>
      <c r="I22" s="310" t="s">
        <v>1812</v>
      </c>
      <c r="J22" s="2402" t="s">
        <v>856</v>
      </c>
      <c r="M22" s="2455"/>
      <c r="N22" s="2455"/>
      <c r="O22" s="2455"/>
      <c r="P22" s="2455"/>
    </row>
    <row r="23" spans="1:16" s="305" customFormat="1" ht="13.15" customHeight="1">
      <c r="B23" s="1559" t="s">
        <v>2245</v>
      </c>
      <c r="F23" s="2457">
        <v>312012404</v>
      </c>
      <c r="G23" s="2458"/>
      <c r="H23" s="2459"/>
      <c r="I23" s="310" t="s">
        <v>1733</v>
      </c>
      <c r="J23" s="2480">
        <v>4787525060</v>
      </c>
      <c r="K23" s="2453"/>
      <c r="L23" s="1561" t="s">
        <v>1732</v>
      </c>
      <c r="M23" s="2362"/>
      <c r="N23" s="1559" t="s">
        <v>1734</v>
      </c>
      <c r="O23" s="2452">
        <v>4787525060</v>
      </c>
      <c r="P23" s="2453"/>
    </row>
    <row r="24" spans="1:16" s="305" customFormat="1" ht="13.15" customHeight="1">
      <c r="B24" s="1559" t="s">
        <v>2000</v>
      </c>
      <c r="F24" s="2481" t="s">
        <v>4558</v>
      </c>
      <c r="G24" s="2482"/>
      <c r="H24" s="2482"/>
      <c r="I24" s="2478"/>
      <c r="J24" s="2482"/>
      <c r="K24" s="2483"/>
      <c r="N24" s="1559" t="s">
        <v>1995</v>
      </c>
      <c r="O24" s="2466">
        <v>4787140748</v>
      </c>
      <c r="P24" s="2467"/>
    </row>
    <row r="25" spans="1:16" s="305" customFormat="1" ht="13.5" customHeight="1">
      <c r="A25" s="501"/>
      <c r="B25" s="307" t="s">
        <v>4537</v>
      </c>
      <c r="C25" s="314"/>
      <c r="D25" s="1570"/>
      <c r="E25" s="1570"/>
      <c r="F25" s="1570"/>
      <c r="H25" s="1571"/>
      <c r="I25" s="1570"/>
      <c r="J25" s="314"/>
      <c r="K25" s="1570"/>
      <c r="P25" s="315"/>
    </row>
    <row r="26" spans="1:16" s="305" customFormat="1" ht="13.15" customHeight="1">
      <c r="B26" s="305" t="s">
        <v>3909</v>
      </c>
      <c r="F26" s="2460" t="s">
        <v>4554</v>
      </c>
      <c r="G26" s="2461"/>
      <c r="H26" s="2462"/>
      <c r="I26" s="305" t="s">
        <v>1810</v>
      </c>
      <c r="J26" s="2460" t="s">
        <v>4559</v>
      </c>
      <c r="K26" s="2461"/>
      <c r="L26" s="2462"/>
      <c r="M26" s="340" t="s">
        <v>1996</v>
      </c>
      <c r="N26" s="2473" t="s">
        <v>4560</v>
      </c>
      <c r="O26" s="2478"/>
      <c r="P26" s="2474"/>
    </row>
    <row r="27" spans="1:16" s="305" customFormat="1" ht="13.15" customHeight="1">
      <c r="B27" s="310" t="s">
        <v>1997</v>
      </c>
      <c r="F27" s="2448" t="s">
        <v>4557</v>
      </c>
      <c r="G27" s="2449"/>
      <c r="H27" s="2449"/>
      <c r="I27" s="2450"/>
      <c r="J27" s="2449"/>
      <c r="K27" s="2450"/>
      <c r="L27" s="2451"/>
      <c r="M27" s="2455" t="s">
        <v>3908</v>
      </c>
      <c r="N27" s="2456"/>
      <c r="O27" s="2456"/>
      <c r="P27" s="2456"/>
    </row>
    <row r="28" spans="1:16" s="305" customFormat="1" ht="13.15" customHeight="1">
      <c r="B28" s="310" t="s">
        <v>624</v>
      </c>
      <c r="F28" s="2448" t="s">
        <v>1332</v>
      </c>
      <c r="G28" s="2449"/>
      <c r="H28" s="2454"/>
      <c r="I28" s="310" t="s">
        <v>1812</v>
      </c>
      <c r="J28" s="2402" t="s">
        <v>856</v>
      </c>
      <c r="M28" s="2455"/>
      <c r="N28" s="2455"/>
      <c r="O28" s="2455"/>
      <c r="P28" s="2455"/>
    </row>
    <row r="29" spans="1:16" s="305" customFormat="1" ht="13.15" customHeight="1">
      <c r="B29" s="1559" t="s">
        <v>2245</v>
      </c>
      <c r="F29" s="2457">
        <v>312012404</v>
      </c>
      <c r="G29" s="2458"/>
      <c r="H29" s="2459"/>
      <c r="I29" s="310" t="s">
        <v>1733</v>
      </c>
      <c r="J29" s="2480">
        <v>4787525071</v>
      </c>
      <c r="K29" s="2453"/>
      <c r="L29" s="1561" t="s">
        <v>1732</v>
      </c>
      <c r="M29" s="2362"/>
      <c r="N29" s="1559" t="s">
        <v>1734</v>
      </c>
      <c r="O29" s="2452">
        <v>4787525070</v>
      </c>
      <c r="P29" s="2453"/>
    </row>
    <row r="30" spans="1:16" s="305" customFormat="1" ht="13.15" customHeight="1">
      <c r="B30" s="1559" t="s">
        <v>2000</v>
      </c>
      <c r="F30" s="2481" t="s">
        <v>4561</v>
      </c>
      <c r="G30" s="2482"/>
      <c r="H30" s="2482"/>
      <c r="I30" s="2478"/>
      <c r="J30" s="2482"/>
      <c r="K30" s="2483"/>
      <c r="N30" s="1559" t="s">
        <v>1995</v>
      </c>
      <c r="O30" s="2466">
        <v>4783207044</v>
      </c>
      <c r="P30" s="2467"/>
    </row>
    <row r="31" spans="1:16" s="305" customFormat="1" ht="6" customHeight="1">
      <c r="A31" s="501"/>
      <c r="B31" s="501"/>
      <c r="C31" s="314"/>
      <c r="D31" s="1570"/>
      <c r="E31" s="1570"/>
      <c r="F31" s="1570"/>
      <c r="H31" s="1571"/>
      <c r="I31" s="1570"/>
      <c r="J31" s="314"/>
      <c r="K31" s="1570"/>
      <c r="P31" s="315"/>
    </row>
    <row r="32" spans="1:16" s="305" customFormat="1" ht="13.1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623</v>
      </c>
      <c r="D34" s="316"/>
      <c r="F34" s="2492" t="s">
        <v>4562</v>
      </c>
      <c r="G34" s="2493"/>
      <c r="H34" s="2493"/>
      <c r="I34" s="2493"/>
      <c r="J34" s="2493"/>
      <c r="K34" s="2494"/>
      <c r="L34" s="1559" t="s">
        <v>2208</v>
      </c>
      <c r="O34" s="2460" t="s">
        <v>4564</v>
      </c>
      <c r="P34" s="2462"/>
    </row>
    <row r="35" spans="1:16" s="305" customFormat="1" ht="13.15" customHeight="1">
      <c r="A35" s="317"/>
      <c r="B35" s="305" t="s">
        <v>2716</v>
      </c>
      <c r="D35" s="318"/>
      <c r="F35" s="2495" t="s">
        <v>3227</v>
      </c>
      <c r="G35" s="2496"/>
      <c r="H35" s="2496"/>
      <c r="I35" s="2496"/>
      <c r="J35" s="2496"/>
      <c r="K35" s="2497"/>
      <c r="L35" s="305" t="s">
        <v>3709</v>
      </c>
      <c r="O35" s="2479" t="s">
        <v>4565</v>
      </c>
      <c r="P35" s="2454"/>
    </row>
    <row r="36" spans="1:16" s="305" customFormat="1" ht="13.15" customHeight="1">
      <c r="A36" s="317"/>
      <c r="B36" s="305" t="s">
        <v>2752</v>
      </c>
      <c r="D36" s="318"/>
      <c r="F36" s="2479" t="s">
        <v>4563</v>
      </c>
      <c r="G36" s="2449"/>
      <c r="H36" s="2449"/>
      <c r="I36" s="2450"/>
      <c r="J36" s="2449"/>
      <c r="K36" s="2454"/>
      <c r="L36" s="1559" t="s">
        <v>2066</v>
      </c>
      <c r="N36" s="2362" t="s">
        <v>3013</v>
      </c>
      <c r="O36" s="1571" t="s">
        <v>3708</v>
      </c>
      <c r="P36" s="2360"/>
    </row>
    <row r="37" spans="1:16" s="305" customFormat="1" ht="13.15" customHeight="1">
      <c r="A37" s="317"/>
      <c r="B37" s="305" t="s">
        <v>3763</v>
      </c>
      <c r="D37" s="318"/>
      <c r="F37" s="305" t="s">
        <v>3743</v>
      </c>
      <c r="G37" s="2484">
        <v>32.823365000000003</v>
      </c>
      <c r="H37" s="2485"/>
      <c r="I37" s="1561" t="s">
        <v>3744</v>
      </c>
      <c r="J37" s="2484">
        <v>-83.646660999999995</v>
      </c>
      <c r="K37" s="2485"/>
      <c r="L37" s="1559" t="s">
        <v>2299</v>
      </c>
      <c r="O37" s="2486">
        <v>4.5810000000000004</v>
      </c>
      <c r="P37" s="2487"/>
    </row>
    <row r="38" spans="1:16" s="305" customFormat="1" ht="13.15" customHeight="1">
      <c r="A38" s="501"/>
      <c r="B38" s="305" t="s">
        <v>624</v>
      </c>
      <c r="F38" s="2460" t="s">
        <v>1332</v>
      </c>
      <c r="G38" s="2488"/>
      <c r="H38" s="2489"/>
      <c r="I38" s="322" t="s">
        <v>2717</v>
      </c>
      <c r="J38" s="2457">
        <v>312012310</v>
      </c>
      <c r="K38" s="2459"/>
      <c r="L38" s="380" t="str">
        <f>IF(AND(NOT(F34=""),NOT(F38="Select from list"),J38=""),"Enter Zip!","")</f>
        <v/>
      </c>
      <c r="M38" s="320" t="s">
        <v>2925</v>
      </c>
      <c r="O38" s="2490" t="s">
        <v>4454</v>
      </c>
      <c r="P38" s="2491"/>
    </row>
    <row r="39" spans="1:16" s="305" customFormat="1" ht="13.15" customHeight="1">
      <c r="A39" s="501"/>
      <c r="B39" s="1570" t="s">
        <v>3591</v>
      </c>
      <c r="D39" s="1570"/>
      <c r="F39" s="2479" t="s">
        <v>4566</v>
      </c>
      <c r="G39" s="2450"/>
      <c r="H39" s="2451"/>
      <c r="I39" s="319" t="s">
        <v>625</v>
      </c>
      <c r="J39" s="2504" t="str">
        <f>IF($F$38="","",VLOOKUP($F$38,'DCA Underwriting Assumptions'!$T$155:$U$785,2,FALSE))</f>
        <v>Bibb</v>
      </c>
      <c r="K39" s="2505"/>
      <c r="M39" s="1559" t="s">
        <v>455</v>
      </c>
      <c r="N39" s="2403" t="s">
        <v>3010</v>
      </c>
      <c r="O39" s="1571" t="s">
        <v>456</v>
      </c>
      <c r="P39" s="2404" t="s">
        <v>3013</v>
      </c>
    </row>
    <row r="40" spans="1:16" s="305" customFormat="1" ht="13.15" customHeight="1">
      <c r="A40" s="501"/>
      <c r="B40" s="307"/>
      <c r="C40" s="305" t="s">
        <v>1570</v>
      </c>
      <c r="F40" s="2405" t="s">
        <v>3013</v>
      </c>
      <c r="G40" s="2506" t="s">
        <v>2799</v>
      </c>
      <c r="H40" s="2507"/>
      <c r="I40" s="533" t="str">
        <f>IF($J$39="","",IF(VLOOKUP($J$39,'DCA Underwriting Assumptions'!G155:M314,7,FALSE)="Rural","Yes",IF(VLOOKUP($J$39,'DCA Underwriting Assumptions'!G155:M314,7,FALSE)="Urban","No","")))</f>
        <v>No</v>
      </c>
      <c r="J40" s="1561" t="s">
        <v>2819</v>
      </c>
      <c r="K40" s="1561" t="str">
        <f>IF(OR(F40="Yes",I40="Yes"),"Rural","Urban")</f>
        <v>Urban</v>
      </c>
      <c r="M40" s="1559" t="s">
        <v>2628</v>
      </c>
      <c r="N40" s="436" t="str">
        <f>VLOOKUP($J$39,'DCA Underwriting Assumptions'!$G$155:$J$314,4)</f>
        <v>MSA</v>
      </c>
      <c r="O40" s="2508" t="str">
        <f>IF($F$38="","",VLOOKUP($J$39,'DCA Underwriting Assumptions'!$G$155:$L$314,3,FALSE))</f>
        <v>Macon</v>
      </c>
      <c r="P40" s="2509"/>
    </row>
    <row r="41" spans="1:16" s="305" customFormat="1" ht="6" customHeight="1">
      <c r="A41" s="501"/>
      <c r="B41" s="307"/>
      <c r="C41" s="307"/>
      <c r="I41" s="310"/>
      <c r="J41" s="1570"/>
      <c r="L41" s="1580"/>
      <c r="M41" s="1580"/>
      <c r="N41" s="1580"/>
      <c r="O41" s="1580"/>
      <c r="P41" s="1580"/>
    </row>
    <row r="42" spans="1:16" s="305" customFormat="1" ht="13.15" customHeight="1">
      <c r="A42" s="501"/>
      <c r="C42" s="305" t="s">
        <v>2761</v>
      </c>
      <c r="F42" s="2510" t="s">
        <v>2780</v>
      </c>
      <c r="G42" s="2510"/>
      <c r="H42" s="2511" t="s">
        <v>744</v>
      </c>
      <c r="I42" s="2511"/>
      <c r="J42" s="2511" t="s">
        <v>745</v>
      </c>
      <c r="K42" s="2511"/>
      <c r="L42" s="520" t="s">
        <v>2718</v>
      </c>
    </row>
    <row r="43" spans="1:16" s="305" customFormat="1" ht="13.15" customHeight="1">
      <c r="A43" s="501"/>
      <c r="B43" s="305" t="s">
        <v>2779</v>
      </c>
      <c r="D43" s="307"/>
      <c r="F43" s="2498">
        <v>2</v>
      </c>
      <c r="G43" s="2499"/>
      <c r="H43" s="2498">
        <v>26</v>
      </c>
      <c r="I43" s="2499"/>
      <c r="J43" s="2498">
        <v>143</v>
      </c>
      <c r="K43" s="2499"/>
      <c r="L43" s="516" t="s">
        <v>1295</v>
      </c>
      <c r="N43" s="2500" t="s">
        <v>1296</v>
      </c>
      <c r="O43" s="2500"/>
      <c r="P43" s="2500"/>
    </row>
    <row r="44" spans="1:16" s="305" customFormat="1" ht="12.75" customHeight="1">
      <c r="A44" s="501"/>
      <c r="B44" s="310" t="s">
        <v>746</v>
      </c>
      <c r="F44" s="2501"/>
      <c r="G44" s="2502"/>
      <c r="H44" s="2501"/>
      <c r="I44" s="2502"/>
      <c r="J44" s="2501"/>
      <c r="K44" s="2502"/>
      <c r="L44" s="516" t="s">
        <v>2778</v>
      </c>
      <c r="N44" s="2503" t="s">
        <v>2777</v>
      </c>
      <c r="O44" s="2503"/>
    </row>
    <row r="45" spans="1:16" s="305" customFormat="1" ht="3" customHeight="1">
      <c r="A45" s="501"/>
      <c r="I45" s="1580"/>
      <c r="J45" s="1580"/>
      <c r="K45" s="1580"/>
      <c r="L45" s="1570"/>
      <c r="M45" s="1570"/>
      <c r="N45" s="1570"/>
      <c r="O45" s="1570"/>
      <c r="P45" s="1570"/>
    </row>
    <row r="46" spans="1:16" s="305" customFormat="1" ht="13.15" customHeight="1">
      <c r="A46" s="501"/>
      <c r="B46" s="307" t="s">
        <v>643</v>
      </c>
      <c r="F46" s="2523" t="s">
        <v>4567</v>
      </c>
      <c r="G46" s="2524"/>
      <c r="H46" s="2524"/>
      <c r="I46" s="2525"/>
      <c r="J46" s="2524"/>
      <c r="K46" s="2526"/>
      <c r="L46" s="930" t="s">
        <v>2722</v>
      </c>
      <c r="M46" s="2473" t="s">
        <v>4571</v>
      </c>
      <c r="N46" s="2478"/>
      <c r="O46" s="2478"/>
      <c r="P46" s="2474"/>
    </row>
    <row r="47" spans="1:16" s="305" customFormat="1" ht="13.15" customHeight="1">
      <c r="A47" s="501"/>
      <c r="B47" s="305" t="s">
        <v>644</v>
      </c>
      <c r="F47" s="2527" t="s">
        <v>4568</v>
      </c>
      <c r="G47" s="2528"/>
      <c r="H47" s="2529"/>
      <c r="I47" s="1562" t="s">
        <v>1996</v>
      </c>
      <c r="J47" s="2495" t="s">
        <v>4570</v>
      </c>
      <c r="K47" s="2497"/>
      <c r="L47" s="930"/>
    </row>
    <row r="48" spans="1:16" s="305" customFormat="1" ht="13.15" customHeight="1">
      <c r="A48" s="501"/>
      <c r="B48" s="305" t="s">
        <v>1997</v>
      </c>
      <c r="F48" s="2530" t="s">
        <v>4569</v>
      </c>
      <c r="G48" s="2531"/>
      <c r="H48" s="2532"/>
      <c r="I48" s="2524"/>
      <c r="J48" s="2531"/>
      <c r="K48" s="2533"/>
      <c r="L48" s="341" t="s">
        <v>624</v>
      </c>
      <c r="M48" s="2534" t="s">
        <v>1332</v>
      </c>
      <c r="N48" s="2535"/>
      <c r="O48" s="2535"/>
      <c r="P48" s="2536"/>
    </row>
    <row r="49" spans="1:19" s="305" customFormat="1" ht="13.15" customHeight="1">
      <c r="A49" s="501"/>
      <c r="B49" s="1559" t="s">
        <v>2245</v>
      </c>
      <c r="F49" s="2512">
        <v>312012033</v>
      </c>
      <c r="G49" s="2513"/>
      <c r="H49" s="1561" t="s">
        <v>1998</v>
      </c>
      <c r="I49" s="2514">
        <v>4787517170</v>
      </c>
      <c r="J49" s="2515"/>
      <c r="K49" s="2516"/>
      <c r="L49" s="310" t="s">
        <v>1813</v>
      </c>
      <c r="M49" s="2517" t="s">
        <v>4572</v>
      </c>
      <c r="N49" s="2518"/>
      <c r="O49" s="2518"/>
      <c r="P49" s="2519"/>
    </row>
    <row r="50" spans="1:19" s="305" customFormat="1" ht="6" customHeight="1">
      <c r="A50" s="501"/>
      <c r="B50" s="501"/>
      <c r="C50" s="321"/>
      <c r="D50" s="322"/>
      <c r="E50" s="322"/>
      <c r="F50" s="1571"/>
      <c r="G50" s="1571"/>
      <c r="H50" s="1571"/>
      <c r="I50" s="1571"/>
      <c r="J50" s="322"/>
      <c r="K50" s="1571"/>
      <c r="L50" s="1571"/>
      <c r="N50" s="1570"/>
      <c r="O50" s="1570"/>
      <c r="P50" s="315"/>
    </row>
    <row r="51" spans="1:19" s="305" customFormat="1" ht="6" customHeight="1">
      <c r="A51" s="501"/>
      <c r="B51" s="501"/>
      <c r="C51" s="321"/>
      <c r="D51" s="322"/>
      <c r="E51" s="322"/>
      <c r="F51" s="1571"/>
      <c r="G51" s="1571"/>
      <c r="H51" s="1571"/>
      <c r="I51" s="1571"/>
      <c r="J51" s="322"/>
      <c r="K51" s="1571"/>
      <c r="L51" s="1571"/>
      <c r="N51" s="1570"/>
      <c r="O51" s="1570"/>
      <c r="P51" s="315"/>
    </row>
    <row r="52" spans="1:19" s="305" customFormat="1" ht="12" customHeight="1">
      <c r="A52" s="311" t="s">
        <v>1807</v>
      </c>
      <c r="B52" s="307" t="s">
        <v>1487</v>
      </c>
      <c r="F52" s="323"/>
      <c r="I52" s="1559"/>
      <c r="J52" s="1570"/>
      <c r="K52" s="1570"/>
      <c r="L52" s="1570"/>
      <c r="M52" s="1570"/>
    </row>
    <row r="53" spans="1:19" s="305" customFormat="1" ht="1.5" customHeight="1">
      <c r="A53" s="501"/>
      <c r="B53" s="307"/>
      <c r="C53" s="307"/>
      <c r="I53" s="1559"/>
      <c r="J53" s="1570"/>
      <c r="K53" s="1570"/>
      <c r="L53" s="1570"/>
      <c r="M53" s="1570"/>
      <c r="N53" s="1570"/>
      <c r="O53" s="1570"/>
      <c r="P53" s="1570"/>
      <c r="Q53" s="1570"/>
    </row>
    <row r="54" spans="1:19" s="305" customFormat="1">
      <c r="A54" s="501"/>
      <c r="B54" s="501" t="s">
        <v>1999</v>
      </c>
      <c r="C54" s="307" t="s">
        <v>725</v>
      </c>
      <c r="I54" s="1570"/>
      <c r="J54" s="1570"/>
      <c r="K54" s="517"/>
      <c r="L54" s="1570"/>
      <c r="M54" s="519"/>
      <c r="N54" s="519"/>
      <c r="O54" s="519"/>
      <c r="P54" s="519"/>
      <c r="Q54" s="1571"/>
    </row>
    <row r="55" spans="1:19" ht="13.15" customHeight="1">
      <c r="B55" s="501"/>
      <c r="C55" s="305" t="s">
        <v>2311</v>
      </c>
      <c r="D55" s="305"/>
      <c r="E55" s="305"/>
      <c r="H55" s="1170">
        <f>'Part VI-Revenues &amp; Expenses'!$O$74</f>
        <v>65</v>
      </c>
      <c r="K55" s="310" t="s">
        <v>3700</v>
      </c>
      <c r="L55" s="305"/>
      <c r="M55" s="991" t="s">
        <v>3699</v>
      </c>
      <c r="N55" s="325">
        <f>'Part VI-Revenues &amp; Expenses'!$O$81</f>
        <v>0</v>
      </c>
      <c r="O55" s="992" t="s">
        <v>3378</v>
      </c>
      <c r="P55" s="325">
        <f>'Part VI-Revenues &amp; Expenses'!$O$82</f>
        <v>0</v>
      </c>
      <c r="Q55" s="1571"/>
    </row>
    <row r="56" spans="1:19" s="305" customFormat="1">
      <c r="A56" s="501"/>
      <c r="B56" s="501"/>
      <c r="C56" s="326" t="s">
        <v>349</v>
      </c>
      <c r="H56" s="1171">
        <f>'Part VI-Revenues &amp; Expenses'!$O$80</f>
        <v>0</v>
      </c>
      <c r="K56" s="326" t="s">
        <v>368</v>
      </c>
      <c r="P56" s="325">
        <f>'Part VI-Revenues &amp; Expenses'!$O$84</f>
        <v>0</v>
      </c>
    </row>
    <row r="57" spans="1:19" s="305" customFormat="1" ht="13.15" customHeight="1">
      <c r="B57" s="501"/>
      <c r="C57" s="310" t="s">
        <v>348</v>
      </c>
      <c r="D57" s="1570"/>
      <c r="H57" s="1172">
        <f>'Part VI-Revenues &amp; Expenses'!$O$77</f>
        <v>0</v>
      </c>
      <c r="I57" s="502" t="s">
        <v>2930</v>
      </c>
      <c r="K57" s="305" t="s">
        <v>350</v>
      </c>
      <c r="P57" s="2406"/>
      <c r="Q57" s="1571"/>
    </row>
    <row r="58" spans="1:19" s="305" customFormat="1" ht="3.6" customHeight="1">
      <c r="A58" s="501"/>
      <c r="P58" s="1570"/>
    </row>
    <row r="59" spans="1:19" s="305" customFormat="1">
      <c r="A59" s="501"/>
      <c r="B59" s="501" t="s">
        <v>2001</v>
      </c>
      <c r="C59" s="307" t="s">
        <v>2312</v>
      </c>
      <c r="H59" s="2407" t="s">
        <v>3013</v>
      </c>
      <c r="K59" s="1570"/>
      <c r="L59" s="1570"/>
      <c r="M59" s="1570"/>
      <c r="N59" s="1570"/>
      <c r="O59" s="519"/>
      <c r="P59" s="517"/>
      <c r="Q59" s="1570"/>
    </row>
    <row r="60" spans="1:19" s="305" customFormat="1" ht="3" customHeight="1">
      <c r="A60" s="501"/>
      <c r="I60" s="1570"/>
      <c r="J60" s="517"/>
      <c r="K60" s="518"/>
      <c r="L60" s="517"/>
      <c r="M60" s="518"/>
      <c r="N60" s="518"/>
      <c r="O60" s="518"/>
      <c r="P60" s="518"/>
      <c r="Q60" s="1570"/>
    </row>
    <row r="61" spans="1:19" s="305" customFormat="1" ht="13.15" customHeight="1">
      <c r="A61" s="501"/>
      <c r="B61" s="317" t="s">
        <v>757</v>
      </c>
      <c r="C61" s="316" t="s">
        <v>2292</v>
      </c>
      <c r="D61" s="1570"/>
      <c r="I61" s="1572" t="s">
        <v>3587</v>
      </c>
      <c r="J61" s="317" t="s">
        <v>2131</v>
      </c>
      <c r="K61" s="327" t="s">
        <v>2318</v>
      </c>
      <c r="M61" s="1570"/>
      <c r="N61" s="1570"/>
      <c r="O61" s="1570"/>
      <c r="P61" s="1571"/>
      <c r="Q61" s="1571"/>
      <c r="R61" s="1571"/>
      <c r="S61" s="1570"/>
    </row>
    <row r="62" spans="1:19" s="305" customFormat="1" ht="13.15" customHeight="1">
      <c r="A62" s="501"/>
      <c r="B62" s="1560"/>
      <c r="C62" s="314" t="s">
        <v>2293</v>
      </c>
      <c r="D62" s="1570"/>
      <c r="E62" s="1570"/>
      <c r="H62" s="679">
        <f>SUM(H63:H64)</f>
        <v>65</v>
      </c>
      <c r="I62" s="679">
        <f>SUM(I63:I64)</f>
        <v>25</v>
      </c>
      <c r="J62" s="501"/>
      <c r="K62" s="314" t="s">
        <v>2791</v>
      </c>
      <c r="M62" s="1570"/>
      <c r="N62" s="1570"/>
      <c r="O62" s="1570"/>
      <c r="P62" s="897">
        <f>'Part VI-Revenues &amp; Expenses'!$O$115</f>
        <v>87408</v>
      </c>
    </row>
    <row r="63" spans="1:19" s="305" customFormat="1" ht="13.15" customHeight="1">
      <c r="A63" s="501"/>
      <c r="B63" s="324"/>
      <c r="D63" s="329" t="s">
        <v>387</v>
      </c>
      <c r="E63" s="1570"/>
      <c r="H63" s="897">
        <f>'Part VI-Revenues &amp; Expenses'!$O$57</f>
        <v>25</v>
      </c>
      <c r="I63" s="897">
        <f>'Part VI-Revenues &amp; Expenses'!$O$65</f>
        <v>25</v>
      </c>
      <c r="K63" s="314" t="s">
        <v>2792</v>
      </c>
      <c r="M63" s="1570"/>
      <c r="N63" s="1570"/>
      <c r="O63" s="1570"/>
      <c r="P63" s="1173">
        <f>'Part VI-Revenues &amp; Expenses'!$O$116</f>
        <v>0</v>
      </c>
    </row>
    <row r="64" spans="1:19" s="305" customFormat="1" ht="13.15" customHeight="1">
      <c r="A64" s="501"/>
      <c r="D64" s="329" t="s">
        <v>1835</v>
      </c>
      <c r="E64" s="329"/>
      <c r="H64" s="898">
        <f>'Part VI-Revenues &amp; Expenses'!$O$56</f>
        <v>40</v>
      </c>
      <c r="I64" s="898">
        <f>'Part VI-Revenues &amp; Expenses'!$O$64</f>
        <v>0</v>
      </c>
      <c r="K64" s="314" t="s">
        <v>2793</v>
      </c>
      <c r="M64" s="1570"/>
      <c r="N64" s="1570"/>
      <c r="O64" s="1570"/>
      <c r="P64" s="897">
        <f>P62+P63</f>
        <v>87408</v>
      </c>
    </row>
    <row r="65" spans="1:16" s="305" customFormat="1" ht="13.15" customHeight="1">
      <c r="A65" s="501"/>
      <c r="C65" s="314" t="s">
        <v>255</v>
      </c>
      <c r="D65" s="1570"/>
      <c r="E65" s="1570"/>
      <c r="H65" s="328">
        <f>'Part VI-Revenues &amp; Expenses'!$O$59</f>
        <v>0</v>
      </c>
      <c r="J65" s="501"/>
      <c r="K65" s="314" t="s">
        <v>2794</v>
      </c>
      <c r="M65" s="1570"/>
      <c r="N65" s="1570"/>
      <c r="O65" s="1570"/>
      <c r="P65" s="898">
        <f>'Part VI-Revenues &amp; Expenses'!$O$118</f>
        <v>0</v>
      </c>
    </row>
    <row r="66" spans="1:16" s="305" customFormat="1" ht="13.15" customHeight="1">
      <c r="A66" s="501"/>
      <c r="C66" s="314" t="s">
        <v>2423</v>
      </c>
      <c r="D66" s="1570"/>
      <c r="E66" s="1570"/>
      <c r="H66" s="897">
        <f>H62+H65</f>
        <v>65</v>
      </c>
      <c r="J66" s="501"/>
      <c r="K66" s="314" t="s">
        <v>1432</v>
      </c>
      <c r="M66" s="1570"/>
      <c r="N66" s="1570"/>
      <c r="O66" s="1570"/>
      <c r="P66" s="328">
        <f>+P64+P65</f>
        <v>87408</v>
      </c>
    </row>
    <row r="67" spans="1:16" s="305" customFormat="1" ht="13.15" customHeight="1">
      <c r="A67" s="501"/>
      <c r="C67" s="314" t="s">
        <v>2424</v>
      </c>
      <c r="D67" s="1570"/>
      <c r="E67" s="1570"/>
      <c r="H67" s="898">
        <f>'Part VI-Revenues &amp; Expenses'!$O$61</f>
        <v>0</v>
      </c>
      <c r="J67" s="501"/>
    </row>
    <row r="68" spans="1:16" s="305" customFormat="1" ht="13.15" customHeight="1">
      <c r="A68" s="501"/>
      <c r="C68" s="314" t="s">
        <v>1806</v>
      </c>
      <c r="D68" s="1570"/>
      <c r="E68" s="1570"/>
      <c r="H68" s="328">
        <f>+H66+H67</f>
        <v>65</v>
      </c>
      <c r="J68" s="1570"/>
    </row>
    <row r="69" spans="1:16" s="305" customFormat="1" ht="3" customHeight="1">
      <c r="A69" s="501"/>
      <c r="I69" s="1571"/>
      <c r="L69" s="1571"/>
      <c r="M69" s="1571"/>
      <c r="N69" s="1570"/>
      <c r="P69" s="315"/>
    </row>
    <row r="70" spans="1:16" s="305" customFormat="1" ht="13.15" customHeight="1">
      <c r="A70" s="501"/>
      <c r="B70" s="501" t="s">
        <v>1748</v>
      </c>
      <c r="C70" s="316" t="s">
        <v>2313</v>
      </c>
      <c r="D70" s="329" t="s">
        <v>2012</v>
      </c>
      <c r="G70" s="1570"/>
      <c r="H70" s="2408">
        <v>27</v>
      </c>
      <c r="K70" s="314" t="s">
        <v>4100</v>
      </c>
      <c r="O70" s="1570"/>
      <c r="P70" s="2409">
        <v>0</v>
      </c>
    </row>
    <row r="71" spans="1:16" s="305" customFormat="1" ht="13.15" customHeight="1">
      <c r="A71" s="501"/>
      <c r="B71" s="501"/>
      <c r="D71" s="1560" t="s">
        <v>2013</v>
      </c>
      <c r="H71" s="2410">
        <v>0</v>
      </c>
      <c r="I71" s="1570"/>
      <c r="K71" s="314" t="s">
        <v>254</v>
      </c>
      <c r="O71" s="1570"/>
      <c r="P71" s="328">
        <f>+P66+P70</f>
        <v>87408</v>
      </c>
    </row>
    <row r="72" spans="1:16" s="305" customFormat="1" ht="13.15" customHeight="1">
      <c r="A72" s="501"/>
      <c r="B72" s="501"/>
      <c r="D72" s="1560" t="s">
        <v>2014</v>
      </c>
      <c r="H72" s="328">
        <f>+H70+H71</f>
        <v>27</v>
      </c>
      <c r="I72" s="1570"/>
    </row>
    <row r="73" spans="1:16" s="305" customFormat="1" ht="3" customHeight="1">
      <c r="A73" s="501"/>
      <c r="B73" s="501"/>
      <c r="C73" s="1570"/>
      <c r="D73" s="1570"/>
      <c r="E73" s="1570"/>
      <c r="F73" s="1570"/>
      <c r="G73" s="1571"/>
      <c r="I73" s="314"/>
      <c r="J73" s="1570"/>
      <c r="P73" s="315"/>
    </row>
    <row r="74" spans="1:16" s="305" customFormat="1" ht="13.15" customHeight="1">
      <c r="A74" s="501"/>
      <c r="B74" s="501" t="s">
        <v>1749</v>
      </c>
      <c r="C74" s="316" t="s">
        <v>2860</v>
      </c>
      <c r="D74" s="1570"/>
      <c r="E74" s="1570"/>
      <c r="F74" s="1570"/>
      <c r="G74" s="1570"/>
      <c r="H74" s="2409">
        <v>102</v>
      </c>
      <c r="K74" s="2537" t="s">
        <v>3883</v>
      </c>
      <c r="L74" s="2537"/>
      <c r="M74" s="2537"/>
      <c r="N74" s="2537"/>
      <c r="O74" s="2537"/>
      <c r="P74" s="2537"/>
    </row>
    <row r="75" spans="1:16" s="305" customFormat="1" ht="4.5" customHeight="1">
      <c r="A75" s="501"/>
      <c r="B75" s="501"/>
      <c r="C75" s="314"/>
      <c r="D75" s="1570"/>
      <c r="E75" s="1570"/>
      <c r="F75" s="1570"/>
      <c r="G75" s="1571"/>
      <c r="H75" s="1570"/>
      <c r="I75" s="314"/>
      <c r="J75" s="314"/>
      <c r="K75" s="2537"/>
      <c r="L75" s="2537"/>
      <c r="M75" s="2537"/>
      <c r="N75" s="2537"/>
      <c r="O75" s="2537"/>
      <c r="P75" s="2537"/>
    </row>
    <row r="76" spans="1:16" s="305" customFormat="1" ht="13.15" customHeight="1">
      <c r="A76" s="501" t="s">
        <v>535</v>
      </c>
      <c r="B76" s="330" t="s">
        <v>1202</v>
      </c>
      <c r="D76" s="330"/>
      <c r="E76" s="330"/>
      <c r="F76" s="1570"/>
      <c r="G76" s="1571"/>
      <c r="H76" s="531"/>
      <c r="K76" s="2537"/>
      <c r="L76" s="2537"/>
      <c r="M76" s="2537"/>
      <c r="N76" s="2537"/>
      <c r="O76" s="2537"/>
      <c r="P76" s="2537"/>
    </row>
    <row r="77" spans="1:16" s="305" customFormat="1" ht="3" customHeight="1">
      <c r="A77" s="501"/>
      <c r="C77" s="1563"/>
      <c r="D77" s="1563"/>
      <c r="E77" s="1563"/>
      <c r="F77" s="1570"/>
      <c r="G77" s="1571"/>
      <c r="K77" s="1570"/>
      <c r="P77" s="315"/>
    </row>
    <row r="78" spans="1:16" s="305" customFormat="1" ht="13.15" customHeight="1">
      <c r="A78" s="501"/>
      <c r="B78" s="501" t="s">
        <v>1999</v>
      </c>
      <c r="C78" s="277" t="s">
        <v>2709</v>
      </c>
      <c r="D78" s="1563"/>
      <c r="E78" s="1563"/>
      <c r="F78" s="1570"/>
      <c r="G78" s="1571"/>
      <c r="H78" s="2520" t="s">
        <v>2931</v>
      </c>
      <c r="I78" s="2521"/>
      <c r="K78" s="2522" t="s">
        <v>1785</v>
      </c>
      <c r="L78" s="2522"/>
      <c r="M78" s="2473"/>
      <c r="N78" s="2478"/>
      <c r="O78" s="2478"/>
      <c r="P78" s="2474"/>
    </row>
    <row r="79" spans="1:16" s="305" customFormat="1" ht="3" customHeight="1">
      <c r="A79" s="501"/>
      <c r="B79" s="501"/>
      <c r="D79" s="1560"/>
      <c r="E79" s="1560"/>
      <c r="F79" s="1560"/>
      <c r="G79" s="1560"/>
      <c r="I79" s="1571"/>
      <c r="K79" s="1559"/>
      <c r="L79" s="1559"/>
      <c r="M79" s="1571"/>
      <c r="N79" s="1570"/>
      <c r="P79" s="315"/>
    </row>
    <row r="80" spans="1:16" s="305" customFormat="1" ht="13.15" customHeight="1">
      <c r="A80" s="501"/>
      <c r="B80" s="501"/>
      <c r="E80" s="1563"/>
      <c r="H80" s="2549" t="s">
        <v>3903</v>
      </c>
      <c r="I80" s="2549"/>
      <c r="K80" s="331" t="s">
        <v>2931</v>
      </c>
      <c r="L80" s="2408">
        <v>65</v>
      </c>
      <c r="M80" s="331" t="s">
        <v>2932</v>
      </c>
      <c r="N80" s="2408"/>
      <c r="P80" s="318" t="s">
        <v>3905</v>
      </c>
    </row>
    <row r="81" spans="1:16" s="305" customFormat="1" ht="13.15" customHeight="1">
      <c r="A81" s="501"/>
      <c r="B81" s="501"/>
      <c r="D81" s="1559"/>
      <c r="E81" s="1563"/>
      <c r="H81" s="2549"/>
      <c r="I81" s="2549"/>
      <c r="K81" s="318" t="s">
        <v>2933</v>
      </c>
      <c r="L81" s="2410"/>
      <c r="M81" s="318" t="s">
        <v>3904</v>
      </c>
      <c r="N81" s="2410"/>
      <c r="P81" s="2411"/>
    </row>
    <row r="82" spans="1:16" s="305" customFormat="1" ht="3" customHeight="1">
      <c r="A82" s="501"/>
      <c r="B82" s="501"/>
      <c r="D82" s="1560"/>
      <c r="E82" s="1560"/>
      <c r="F82" s="1560"/>
      <c r="G82" s="1560"/>
      <c r="I82" s="1571"/>
      <c r="K82" s="1559"/>
      <c r="L82" s="1559"/>
      <c r="M82" s="1571"/>
      <c r="N82" s="1570"/>
      <c r="P82" s="315"/>
    </row>
    <row r="83" spans="1:16" s="305" customFormat="1" ht="13.15" customHeight="1">
      <c r="A83" s="501"/>
      <c r="B83" s="501" t="s">
        <v>2001</v>
      </c>
      <c r="C83" s="316" t="s">
        <v>1423</v>
      </c>
      <c r="D83" s="1570"/>
      <c r="E83" s="329"/>
      <c r="F83" s="1560" t="s">
        <v>804</v>
      </c>
      <c r="H83" s="328">
        <f>'Part VIII-Threshold Criteria'!K301</f>
        <v>4</v>
      </c>
      <c r="K83" s="2522" t="s">
        <v>525</v>
      </c>
      <c r="L83" s="2522"/>
      <c r="N83" s="332">
        <f>IF('Part VI-Revenues &amp; Expenses'!$O$62=0,0,H83/'Part VI-Revenues &amp; Expenses'!$O$62)</f>
        <v>6.1538461538461542E-2</v>
      </c>
      <c r="O83" s="318" t="s">
        <v>3722</v>
      </c>
      <c r="P83" s="1002">
        <f>'DCA Underwriting Assumptions'!$Q$136</f>
        <v>0.05</v>
      </c>
    </row>
    <row r="84" spans="1:16" s="305" customFormat="1" ht="12.75" customHeight="1">
      <c r="A84" s="501"/>
      <c r="B84" s="501"/>
      <c r="D84" s="1560" t="s">
        <v>2858</v>
      </c>
      <c r="E84" s="1560"/>
      <c r="F84" s="1560" t="s">
        <v>804</v>
      </c>
      <c r="H84" s="328">
        <f>'Part VIII-Threshold Criteria'!K303</f>
        <v>4</v>
      </c>
      <c r="K84" s="1570" t="s">
        <v>2859</v>
      </c>
      <c r="L84" s="1570"/>
      <c r="N84" s="332">
        <f>IF(H83=0,0,H84/H83)</f>
        <v>1</v>
      </c>
      <c r="O84" s="318" t="s">
        <v>3722</v>
      </c>
      <c r="P84" s="1002">
        <f>'DCA Underwriting Assumptions'!$Q$137</f>
        <v>0.4</v>
      </c>
    </row>
    <row r="85" spans="1:16" s="305" customFormat="1" ht="3" customHeight="1">
      <c r="A85" s="501"/>
      <c r="B85" s="501"/>
      <c r="D85" s="1560"/>
      <c r="E85" s="1560"/>
      <c r="F85" s="1560"/>
      <c r="I85" s="1571"/>
      <c r="K85" s="1559"/>
      <c r="L85" s="1559"/>
      <c r="M85" s="1571"/>
      <c r="N85" s="1571"/>
      <c r="P85" s="1561"/>
    </row>
    <row r="86" spans="1:16" s="305" customFormat="1" ht="13.15" customHeight="1">
      <c r="A86" s="501"/>
      <c r="B86" s="501" t="s">
        <v>757</v>
      </c>
      <c r="C86" s="316" t="s">
        <v>1858</v>
      </c>
      <c r="D86" s="329"/>
      <c r="E86" s="329"/>
      <c r="F86" s="1560" t="s">
        <v>804</v>
      </c>
      <c r="H86" s="328">
        <f>'Part VIII-Threshold Criteria'!K305</f>
        <v>2</v>
      </c>
      <c r="K86" s="2522" t="s">
        <v>525</v>
      </c>
      <c r="L86" s="2522"/>
      <c r="N86" s="332">
        <f>IF('Part VI-Revenues &amp; Expenses'!$O$62=0,0,H86/'Part VI-Revenues &amp; Expenses'!$O$62)</f>
        <v>3.0769230769230771E-2</v>
      </c>
      <c r="O86" s="318" t="s">
        <v>3722</v>
      </c>
      <c r="P86" s="1002">
        <f>'DCA Underwriting Assumptions'!$Q$138</f>
        <v>0.02</v>
      </c>
    </row>
    <row r="87" spans="1:16" s="305" customFormat="1" ht="4.5" customHeight="1">
      <c r="A87" s="501"/>
      <c r="B87" s="501"/>
      <c r="D87" s="1560"/>
      <c r="E87" s="1560"/>
      <c r="F87" s="1560"/>
      <c r="G87" s="1560"/>
      <c r="I87" s="1571"/>
      <c r="J87" s="1571"/>
      <c r="K87" s="1571"/>
      <c r="L87" s="1571"/>
      <c r="M87" s="1571"/>
      <c r="N87" s="1570"/>
      <c r="P87" s="315"/>
    </row>
    <row r="88" spans="1:16" s="305" customFormat="1" ht="13.15" customHeight="1">
      <c r="A88" s="333" t="s">
        <v>780</v>
      </c>
      <c r="B88" s="1563" t="s">
        <v>2393</v>
      </c>
      <c r="D88" s="1560"/>
      <c r="E88" s="1560"/>
      <c r="F88" s="1560"/>
      <c r="G88" s="1560"/>
      <c r="H88" s="1560"/>
      <c r="I88" s="1571"/>
      <c r="M88" s="1571"/>
      <c r="N88" s="1570"/>
      <c r="P88" s="315"/>
    </row>
    <row r="89" spans="1:16" s="305" customFormat="1" ht="3" customHeight="1">
      <c r="A89" s="501"/>
      <c r="B89" s="501"/>
      <c r="C89" s="1563"/>
      <c r="D89" s="1560"/>
      <c r="E89" s="1560"/>
      <c r="F89" s="1560"/>
      <c r="L89" s="1571"/>
      <c r="M89" s="1571"/>
      <c r="N89" s="1570"/>
      <c r="P89" s="315"/>
    </row>
    <row r="90" spans="1:16" s="305" customFormat="1" ht="13.15" customHeight="1">
      <c r="A90" s="501"/>
      <c r="B90" s="501" t="s">
        <v>1999</v>
      </c>
      <c r="C90" s="277" t="s">
        <v>2392</v>
      </c>
      <c r="D90" s="1560"/>
      <c r="E90" s="1560"/>
      <c r="F90" s="1560"/>
      <c r="H90" s="2550" t="s">
        <v>878</v>
      </c>
      <c r="I90" s="2551"/>
      <c r="J90" s="2552"/>
      <c r="M90" s="1571"/>
      <c r="N90" s="1571"/>
      <c r="P90" s="315"/>
    </row>
    <row r="91" spans="1:16" s="305" customFormat="1" ht="3" customHeight="1">
      <c r="A91" s="501"/>
      <c r="B91" s="501"/>
      <c r="D91" s="1560"/>
      <c r="E91" s="1560"/>
      <c r="F91" s="1560"/>
      <c r="G91" s="1560"/>
      <c r="I91" s="1571"/>
      <c r="J91" s="1571"/>
      <c r="K91" s="1571"/>
      <c r="L91" s="1571"/>
      <c r="M91" s="1571"/>
      <c r="N91" s="1570"/>
      <c r="P91" s="315"/>
    </row>
    <row r="92" spans="1:16" s="305" customFormat="1" ht="13.15" customHeight="1">
      <c r="B92" s="501" t="s">
        <v>2001</v>
      </c>
      <c r="C92" s="307" t="s">
        <v>1546</v>
      </c>
      <c r="K92" s="310" t="s">
        <v>877</v>
      </c>
      <c r="N92" s="334"/>
      <c r="P92" s="2407" t="s">
        <v>3013</v>
      </c>
    </row>
    <row r="93" spans="1:16" s="305" customFormat="1" ht="4.5" customHeight="1">
      <c r="A93" s="501"/>
      <c r="B93" s="501"/>
      <c r="C93" s="307"/>
      <c r="D93" s="1560"/>
      <c r="E93" s="1560"/>
      <c r="F93" s="1560"/>
      <c r="G93" s="1560"/>
      <c r="I93" s="1571"/>
      <c r="J93" s="1571"/>
      <c r="K93" s="1571"/>
      <c r="L93" s="1571"/>
      <c r="M93" s="1571"/>
      <c r="N93" s="1570"/>
      <c r="P93" s="315"/>
    </row>
    <row r="94" spans="1:16" s="305" customFormat="1" ht="13.15" customHeight="1">
      <c r="A94" s="333" t="s">
        <v>294</v>
      </c>
      <c r="B94" s="1563" t="s">
        <v>2057</v>
      </c>
      <c r="D94" s="1560"/>
    </row>
    <row r="95" spans="1:16" s="305" customFormat="1" ht="3" customHeight="1">
      <c r="A95" s="501"/>
      <c r="B95" s="501"/>
      <c r="D95" s="1560"/>
      <c r="N95" s="1570"/>
      <c r="P95" s="315"/>
    </row>
    <row r="96" spans="1:16" s="305" customFormat="1" ht="13.15" customHeight="1">
      <c r="A96" s="333"/>
      <c r="B96" s="501" t="s">
        <v>1999</v>
      </c>
      <c r="C96" s="307" t="s">
        <v>2726</v>
      </c>
      <c r="F96" s="329" t="s">
        <v>2617</v>
      </c>
      <c r="H96" s="2407" t="s">
        <v>3010</v>
      </c>
      <c r="K96" s="329" t="s">
        <v>3928</v>
      </c>
      <c r="L96" s="2407" t="s">
        <v>3013</v>
      </c>
      <c r="O96" s="312" t="s">
        <v>3922</v>
      </c>
      <c r="P96" s="2407" t="s">
        <v>3013</v>
      </c>
    </row>
    <row r="97" spans="1:16" s="305" customFormat="1" ht="3" customHeight="1">
      <c r="A97" s="501"/>
      <c r="B97" s="501"/>
      <c r="C97" s="1563"/>
      <c r="F97" s="1560"/>
      <c r="H97" s="1560"/>
      <c r="J97" s="1571"/>
      <c r="K97" s="1571"/>
      <c r="L97" s="1571"/>
      <c r="M97" s="1571"/>
      <c r="N97" s="1571"/>
      <c r="P97" s="315"/>
    </row>
    <row r="98" spans="1:16" s="305" customFormat="1" ht="13.15" customHeight="1">
      <c r="A98" s="333"/>
      <c r="B98" s="501" t="s">
        <v>2001</v>
      </c>
      <c r="C98" s="307" t="s">
        <v>2727</v>
      </c>
      <c r="F98" s="1559" t="s">
        <v>2696</v>
      </c>
      <c r="H98" s="2407" t="s">
        <v>3013</v>
      </c>
      <c r="I98" s="496" t="s">
        <v>2728</v>
      </c>
      <c r="J98" s="1571"/>
      <c r="L98" s="1571"/>
    </row>
    <row r="99" spans="1:16" s="305" customFormat="1" ht="4.5" customHeight="1">
      <c r="A99" s="501"/>
      <c r="B99" s="501"/>
      <c r="C99" s="307"/>
      <c r="D99" s="1560"/>
      <c r="E99" s="1560"/>
      <c r="F99" s="1560"/>
      <c r="G99" s="1560"/>
      <c r="I99" s="1571"/>
      <c r="J99" s="1571"/>
      <c r="K99" s="1571"/>
      <c r="L99" s="1571"/>
      <c r="M99" s="1571"/>
      <c r="N99" s="1570"/>
      <c r="P99" s="315"/>
    </row>
    <row r="100" spans="1:16" s="305" customFormat="1" ht="13.15" customHeight="1">
      <c r="A100" s="333" t="s">
        <v>428</v>
      </c>
      <c r="B100" s="1563" t="s">
        <v>2801</v>
      </c>
      <c r="D100" s="1560"/>
      <c r="H100" s="2473" t="s">
        <v>2837</v>
      </c>
      <c r="I100" s="2474"/>
      <c r="J100" s="1571"/>
    </row>
    <row r="101" spans="1:16" s="305" customFormat="1" ht="4.5" customHeight="1">
      <c r="A101" s="501"/>
      <c r="D101" s="322"/>
      <c r="E101" s="1570"/>
      <c r="I101" s="322"/>
      <c r="J101" s="314"/>
      <c r="K101" s="1570"/>
      <c r="P101" s="315"/>
    </row>
    <row r="102" spans="1:16" s="305" customFormat="1" ht="13.15" customHeight="1">
      <c r="A102" s="333" t="s">
        <v>364</v>
      </c>
      <c r="B102" s="327" t="s">
        <v>1200</v>
      </c>
      <c r="D102" s="1570"/>
      <c r="E102" s="1570"/>
      <c r="F102" s="1570"/>
      <c r="G102" s="1570"/>
      <c r="H102" s="1570"/>
      <c r="I102" s="322"/>
      <c r="J102" s="314"/>
      <c r="K102" s="1570"/>
      <c r="P102" s="315"/>
    </row>
    <row r="103" spans="1:16" s="305" customFormat="1" ht="3" customHeight="1">
      <c r="A103" s="333"/>
      <c r="B103" s="501"/>
      <c r="C103" s="327"/>
      <c r="D103" s="1570"/>
      <c r="E103" s="1570"/>
      <c r="F103" s="1570"/>
      <c r="G103" s="1570"/>
      <c r="H103" s="1570"/>
      <c r="I103" s="322"/>
      <c r="J103" s="314"/>
      <c r="K103" s="1570"/>
    </row>
    <row r="104" spans="1:16" s="305" customFormat="1" ht="13.15" customHeight="1">
      <c r="A104" s="501"/>
      <c r="B104" s="501"/>
      <c r="C104" s="314" t="s">
        <v>557</v>
      </c>
      <c r="D104" s="1570"/>
      <c r="E104" s="2460"/>
      <c r="F104" s="2461"/>
      <c r="G104" s="2461"/>
      <c r="H104" s="2461"/>
      <c r="I104" s="2461"/>
      <c r="J104" s="2461"/>
      <c r="K104" s="2461"/>
      <c r="L104" s="2462"/>
      <c r="M104" s="2538" t="s">
        <v>558</v>
      </c>
      <c r="N104" s="2538"/>
      <c r="O104" s="2539"/>
      <c r="P104" s="2540"/>
    </row>
    <row r="105" spans="1:16" s="305" customFormat="1" ht="13.15" customHeight="1">
      <c r="C105" s="310" t="s">
        <v>1031</v>
      </c>
      <c r="D105" s="318"/>
      <c r="E105" s="2448"/>
      <c r="F105" s="2449"/>
      <c r="G105" s="2449"/>
      <c r="H105" s="2450"/>
      <c r="I105" s="2449"/>
      <c r="J105" s="2450"/>
      <c r="K105" s="2449"/>
      <c r="L105" s="2454"/>
      <c r="M105" s="2538" t="s">
        <v>816</v>
      </c>
      <c r="N105" s="2538"/>
      <c r="O105" s="2541"/>
      <c r="P105" s="2542"/>
    </row>
    <row r="106" spans="1:16" s="305" customFormat="1" ht="13.15" customHeight="1">
      <c r="C106" s="310" t="s">
        <v>624</v>
      </c>
      <c r="E106" s="2495"/>
      <c r="F106" s="2543"/>
      <c r="G106" s="2544"/>
      <c r="H106" s="1561" t="s">
        <v>1812</v>
      </c>
      <c r="I106" s="2412"/>
      <c r="J106" s="335" t="s">
        <v>2245</v>
      </c>
      <c r="K106" s="2545"/>
      <c r="L106" s="2546"/>
      <c r="M106" s="280" t="s">
        <v>3690</v>
      </c>
      <c r="N106" s="280"/>
      <c r="O106" s="2547"/>
      <c r="P106" s="2548"/>
    </row>
    <row r="107" spans="1:16" s="305" customFormat="1" ht="13.15" customHeight="1">
      <c r="C107" s="305" t="s">
        <v>2210</v>
      </c>
      <c r="E107" s="2495"/>
      <c r="F107" s="2543"/>
      <c r="G107" s="2544"/>
      <c r="H107" s="1039" t="s">
        <v>1996</v>
      </c>
      <c r="I107" s="2563"/>
      <c r="J107" s="2564"/>
      <c r="K107" s="2565"/>
      <c r="L107" s="1581" t="s">
        <v>2000</v>
      </c>
      <c r="M107" s="2460"/>
      <c r="N107" s="2566"/>
      <c r="O107" s="2567"/>
      <c r="P107" s="2568"/>
    </row>
    <row r="108" spans="1:16" s="305" customFormat="1" ht="13.15" customHeight="1">
      <c r="C108" s="310" t="s">
        <v>2209</v>
      </c>
      <c r="E108" s="2466"/>
      <c r="F108" s="2569"/>
      <c r="G108" s="2467"/>
      <c r="H108" s="1039" t="s">
        <v>1815</v>
      </c>
      <c r="I108" s="2466"/>
      <c r="J108" s="2570"/>
      <c r="K108" s="1561" t="s">
        <v>2722</v>
      </c>
      <c r="L108" s="2470"/>
      <c r="M108" s="2571"/>
      <c r="N108" s="2571"/>
      <c r="O108" s="2571"/>
      <c r="P108" s="2572"/>
    </row>
    <row r="109" spans="1:16" s="305" customFormat="1" ht="3" customHeight="1">
      <c r="A109" s="501"/>
      <c r="B109" s="501"/>
      <c r="G109" s="322"/>
      <c r="H109" s="1571"/>
      <c r="I109" s="1571"/>
      <c r="M109" s="315"/>
    </row>
    <row r="110" spans="1:16" s="305" customFormat="1" ht="13.15" customHeight="1">
      <c r="A110" s="333" t="s">
        <v>365</v>
      </c>
      <c r="B110" s="1563" t="s">
        <v>1682</v>
      </c>
      <c r="D110" s="322"/>
      <c r="E110" s="322"/>
      <c r="F110" s="1571"/>
      <c r="G110" s="1571"/>
      <c r="H110" s="1571"/>
      <c r="N110" s="1570"/>
      <c r="O110" s="1570"/>
      <c r="P110" s="315"/>
    </row>
    <row r="111" spans="1:16" s="305" customFormat="1" ht="3.6" customHeight="1">
      <c r="A111" s="333"/>
      <c r="B111" s="1563"/>
      <c r="D111" s="322"/>
      <c r="E111" s="322"/>
      <c r="F111" s="1571"/>
      <c r="G111" s="1571"/>
      <c r="H111" s="1571"/>
      <c r="I111" s="1571"/>
      <c r="J111" s="322"/>
      <c r="K111" s="1571"/>
      <c r="L111" s="1571"/>
      <c r="N111" s="1570"/>
      <c r="O111" s="1570"/>
      <c r="P111" s="315"/>
    </row>
    <row r="112" spans="1:16" s="305" customFormat="1" ht="13.15" customHeight="1">
      <c r="B112" s="329" t="s">
        <v>2169</v>
      </c>
      <c r="D112" s="336"/>
      <c r="E112" s="336"/>
      <c r="F112" s="336"/>
      <c r="G112" s="336"/>
      <c r="H112" s="336"/>
      <c r="I112" s="336"/>
      <c r="J112" s="336"/>
      <c r="K112" s="336"/>
      <c r="L112" s="336"/>
      <c r="M112" s="336"/>
      <c r="N112" s="336"/>
      <c r="O112" s="336"/>
      <c r="P112" s="336"/>
    </row>
    <row r="113" spans="1:16" s="305" customFormat="1" ht="4.9000000000000004" customHeight="1">
      <c r="A113" s="501"/>
      <c r="B113" s="501"/>
      <c r="C113" s="337"/>
      <c r="D113" s="337"/>
      <c r="E113" s="337"/>
      <c r="F113" s="337"/>
      <c r="G113" s="337"/>
      <c r="H113" s="337"/>
      <c r="I113" s="337"/>
      <c r="J113" s="337"/>
      <c r="K113" s="337"/>
      <c r="L113" s="337"/>
      <c r="M113" s="337"/>
      <c r="N113" s="337"/>
      <c r="O113" s="337"/>
      <c r="P113" s="337"/>
    </row>
    <row r="114" spans="1:16" s="305" customFormat="1" ht="13.15" customHeight="1">
      <c r="A114" s="501"/>
      <c r="B114" s="501" t="s">
        <v>1999</v>
      </c>
      <c r="C114" s="1563" t="s">
        <v>1424</v>
      </c>
      <c r="D114" s="1560"/>
      <c r="E114" s="1560"/>
      <c r="F114" s="1571"/>
      <c r="G114" s="1571"/>
      <c r="H114" s="2413">
        <v>1</v>
      </c>
      <c r="N114" s="1570"/>
      <c r="O114" s="1570"/>
    </row>
    <row r="115" spans="1:16" s="305" customFormat="1" ht="3.6" customHeight="1">
      <c r="A115" s="501"/>
      <c r="B115" s="501"/>
      <c r="C115" s="337"/>
      <c r="D115" s="337"/>
      <c r="E115" s="337"/>
      <c r="F115" s="337"/>
      <c r="G115" s="337"/>
      <c r="H115" s="337"/>
      <c r="J115" s="337"/>
      <c r="M115" s="337"/>
      <c r="N115" s="337"/>
      <c r="O115" s="337"/>
    </row>
    <row r="116" spans="1:16" s="305" customFormat="1" ht="13.15" customHeight="1">
      <c r="A116" s="501"/>
      <c r="B116" s="501" t="s">
        <v>2001</v>
      </c>
      <c r="C116" s="1563" t="s">
        <v>418</v>
      </c>
      <c r="D116" s="1560"/>
      <c r="E116" s="1560"/>
      <c r="F116" s="1571"/>
      <c r="G116" s="1571"/>
      <c r="H116" s="2414">
        <v>874237</v>
      </c>
      <c r="J116" s="322"/>
      <c r="K116" s="1559"/>
      <c r="N116" s="1570"/>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15" customHeight="1">
      <c r="B118" s="501" t="s">
        <v>757</v>
      </c>
      <c r="C118" s="1563" t="s">
        <v>304</v>
      </c>
      <c r="D118" s="1560"/>
      <c r="E118" s="1560"/>
      <c r="F118" s="1571"/>
      <c r="G118" s="1571"/>
      <c r="H118" s="1571"/>
      <c r="I118" s="1571"/>
      <c r="J118" s="322"/>
      <c r="K118" s="1571"/>
      <c r="L118" s="1571"/>
      <c r="N118" s="1570"/>
      <c r="O118" s="1570"/>
    </row>
    <row r="119" spans="1:16" s="305" customFormat="1" ht="13.15" customHeight="1">
      <c r="B119" s="501"/>
      <c r="C119" s="1560" t="s">
        <v>2151</v>
      </c>
      <c r="D119" s="1560"/>
      <c r="F119" s="1560" t="s">
        <v>1144</v>
      </c>
      <c r="G119" s="1571"/>
      <c r="H119" s="1571"/>
      <c r="I119" s="1571" t="s">
        <v>1306</v>
      </c>
      <c r="J119" s="1560" t="s">
        <v>2151</v>
      </c>
      <c r="K119" s="1560"/>
      <c r="M119" s="1560" t="s">
        <v>1144</v>
      </c>
      <c r="N119" s="1571"/>
      <c r="O119" s="1571"/>
      <c r="P119" s="1571" t="s">
        <v>1306</v>
      </c>
    </row>
    <row r="120" spans="1:16" s="305" customFormat="1" ht="13.15" customHeight="1">
      <c r="A120" s="501"/>
      <c r="B120" s="501"/>
      <c r="C120" s="2553" t="s">
        <v>4554</v>
      </c>
      <c r="D120" s="2554"/>
      <c r="E120" s="2554"/>
      <c r="F120" s="2555" t="s">
        <v>4562</v>
      </c>
      <c r="G120" s="2556"/>
      <c r="H120" s="2557"/>
      <c r="I120" s="2415" t="s">
        <v>4573</v>
      </c>
      <c r="J120" s="2553">
        <v>7</v>
      </c>
      <c r="K120" s="2554"/>
      <c r="L120" s="2554"/>
      <c r="M120" s="2555"/>
      <c r="N120" s="2556"/>
      <c r="O120" s="2557"/>
      <c r="P120" s="2415"/>
    </row>
    <row r="121" spans="1:16" s="305" customFormat="1" ht="13.15" customHeight="1">
      <c r="A121" s="501"/>
      <c r="B121" s="501"/>
      <c r="C121" s="2558">
        <v>2</v>
      </c>
      <c r="D121" s="2559"/>
      <c r="E121" s="2559"/>
      <c r="F121" s="2560"/>
      <c r="G121" s="2561"/>
      <c r="H121" s="2562"/>
      <c r="I121" s="2416"/>
      <c r="J121" s="2558">
        <v>8</v>
      </c>
      <c r="K121" s="2559"/>
      <c r="L121" s="2559"/>
      <c r="M121" s="2560"/>
      <c r="N121" s="2561"/>
      <c r="O121" s="2562"/>
      <c r="P121" s="2416"/>
    </row>
    <row r="122" spans="1:16" s="305" customFormat="1" ht="13.15" customHeight="1">
      <c r="A122" s="501"/>
      <c r="B122" s="501"/>
      <c r="C122" s="2558">
        <v>3</v>
      </c>
      <c r="D122" s="2559"/>
      <c r="E122" s="2559"/>
      <c r="F122" s="2560"/>
      <c r="G122" s="2561"/>
      <c r="H122" s="2562"/>
      <c r="I122" s="2416"/>
      <c r="J122" s="2558">
        <v>9</v>
      </c>
      <c r="K122" s="2559"/>
      <c r="L122" s="2559"/>
      <c r="M122" s="2560"/>
      <c r="N122" s="2561"/>
      <c r="O122" s="2562"/>
      <c r="P122" s="2416"/>
    </row>
    <row r="123" spans="1:16" s="305" customFormat="1" ht="13.15" customHeight="1">
      <c r="A123" s="501"/>
      <c r="B123" s="501"/>
      <c r="C123" s="2558">
        <v>4</v>
      </c>
      <c r="D123" s="2559"/>
      <c r="E123" s="2559"/>
      <c r="F123" s="2560"/>
      <c r="G123" s="2561"/>
      <c r="H123" s="2562"/>
      <c r="I123" s="2416"/>
      <c r="J123" s="2558">
        <v>10</v>
      </c>
      <c r="K123" s="2559"/>
      <c r="L123" s="2559"/>
      <c r="M123" s="2560"/>
      <c r="N123" s="2561"/>
      <c r="O123" s="2562"/>
      <c r="P123" s="2416"/>
    </row>
    <row r="124" spans="1:16" s="305" customFormat="1" ht="13.15" customHeight="1">
      <c r="A124" s="501"/>
      <c r="B124" s="501"/>
      <c r="C124" s="2558">
        <v>5</v>
      </c>
      <c r="D124" s="2559"/>
      <c r="E124" s="2559"/>
      <c r="F124" s="2560"/>
      <c r="G124" s="2561"/>
      <c r="H124" s="2562"/>
      <c r="I124" s="2416"/>
      <c r="J124" s="2558">
        <v>11</v>
      </c>
      <c r="K124" s="2559"/>
      <c r="L124" s="2559"/>
      <c r="M124" s="2560"/>
      <c r="N124" s="2561"/>
      <c r="O124" s="2562"/>
      <c r="P124" s="2416"/>
    </row>
    <row r="125" spans="1:16" s="305" customFormat="1" ht="13.15" customHeight="1">
      <c r="A125" s="501"/>
      <c r="B125" s="501"/>
      <c r="C125" s="2573">
        <v>6</v>
      </c>
      <c r="D125" s="2574"/>
      <c r="E125" s="2574"/>
      <c r="F125" s="2575"/>
      <c r="G125" s="2576"/>
      <c r="H125" s="2577"/>
      <c r="I125" s="2417"/>
      <c r="J125" s="2573">
        <v>12</v>
      </c>
      <c r="K125" s="2574"/>
      <c r="L125" s="2574"/>
      <c r="M125" s="2575"/>
      <c r="N125" s="2576"/>
      <c r="O125" s="2577"/>
      <c r="P125" s="2417"/>
    </row>
    <row r="126" spans="1:16" s="305" customFormat="1" ht="4.9000000000000004" customHeight="1">
      <c r="A126" s="501"/>
      <c r="B126" s="501"/>
      <c r="C126" s="337"/>
      <c r="D126" s="337"/>
      <c r="E126" s="337"/>
      <c r="F126" s="337"/>
      <c r="G126" s="337"/>
      <c r="H126" s="337"/>
      <c r="I126" s="337"/>
      <c r="J126" s="337"/>
      <c r="K126" s="337"/>
      <c r="L126" s="337"/>
      <c r="M126" s="337"/>
      <c r="N126" s="337"/>
      <c r="O126" s="337"/>
      <c r="P126" s="337"/>
    </row>
    <row r="127" spans="1:16" s="305" customFormat="1" ht="13.15" customHeight="1">
      <c r="A127" s="501"/>
      <c r="B127" s="501" t="s">
        <v>2131</v>
      </c>
      <c r="C127" s="2579" t="s">
        <v>1861</v>
      </c>
      <c r="D127" s="2579"/>
      <c r="E127" s="2579"/>
      <c r="F127" s="2579"/>
      <c r="G127" s="2579"/>
      <c r="H127" s="2579"/>
      <c r="I127" s="2579"/>
      <c r="J127" s="2579"/>
      <c r="K127" s="2579"/>
      <c r="L127" s="2579"/>
      <c r="M127" s="2579"/>
      <c r="N127" s="2579"/>
      <c r="O127" s="2579"/>
      <c r="P127" s="2579"/>
    </row>
    <row r="128" spans="1:16" s="305" customFormat="1" ht="13.15" customHeight="1">
      <c r="A128" s="501"/>
      <c r="B128" s="501"/>
      <c r="C128" s="2579"/>
      <c r="D128" s="2579"/>
      <c r="E128" s="2579"/>
      <c r="F128" s="2579"/>
      <c r="G128" s="2579"/>
      <c r="H128" s="2579"/>
      <c r="I128" s="2579"/>
      <c r="J128" s="2579"/>
      <c r="K128" s="2579"/>
      <c r="L128" s="2579"/>
      <c r="M128" s="2579"/>
      <c r="N128" s="2579"/>
      <c r="O128" s="2579"/>
      <c r="P128" s="2579"/>
    </row>
    <row r="129" spans="1:16" s="305" customFormat="1" ht="13.15" customHeight="1">
      <c r="B129" s="501"/>
      <c r="C129" s="1560" t="s">
        <v>2151</v>
      </c>
      <c r="D129" s="1560"/>
      <c r="F129" s="1560" t="s">
        <v>1144</v>
      </c>
      <c r="G129" s="1571"/>
      <c r="H129" s="1571"/>
      <c r="I129" s="1571"/>
      <c r="J129" s="1560" t="s">
        <v>2151</v>
      </c>
      <c r="K129" s="1560"/>
      <c r="M129" s="1560" t="s">
        <v>1144</v>
      </c>
      <c r="N129" s="1571"/>
      <c r="O129" s="1571"/>
      <c r="P129" s="1571"/>
    </row>
    <row r="130" spans="1:16" s="305" customFormat="1" ht="13.15" customHeight="1">
      <c r="A130" s="501"/>
      <c r="B130" s="501"/>
      <c r="C130" s="2553">
        <v>1</v>
      </c>
      <c r="D130" s="2554"/>
      <c r="E130" s="2554"/>
      <c r="F130" s="2555"/>
      <c r="G130" s="2556"/>
      <c r="H130" s="2556"/>
      <c r="I130" s="2580"/>
      <c r="J130" s="2553">
        <v>7</v>
      </c>
      <c r="K130" s="2554"/>
      <c r="L130" s="2554"/>
      <c r="M130" s="2555"/>
      <c r="N130" s="2556"/>
      <c r="O130" s="2556"/>
      <c r="P130" s="2580"/>
    </row>
    <row r="131" spans="1:16" s="305" customFormat="1" ht="13.15" customHeight="1">
      <c r="A131" s="501"/>
      <c r="B131" s="501"/>
      <c r="C131" s="2558">
        <v>2</v>
      </c>
      <c r="D131" s="2559"/>
      <c r="E131" s="2559"/>
      <c r="F131" s="2560"/>
      <c r="G131" s="2561"/>
      <c r="H131" s="2561"/>
      <c r="I131" s="2578"/>
      <c r="J131" s="2558">
        <v>8</v>
      </c>
      <c r="K131" s="2559"/>
      <c r="L131" s="2559"/>
      <c r="M131" s="2560"/>
      <c r="N131" s="2561"/>
      <c r="O131" s="2561"/>
      <c r="P131" s="2578"/>
    </row>
    <row r="132" spans="1:16" s="305" customFormat="1" ht="13.15" customHeight="1">
      <c r="A132" s="501"/>
      <c r="B132" s="501"/>
      <c r="C132" s="2558">
        <v>3</v>
      </c>
      <c r="D132" s="2559"/>
      <c r="E132" s="2559"/>
      <c r="F132" s="2560"/>
      <c r="G132" s="2561"/>
      <c r="H132" s="2561"/>
      <c r="I132" s="2578"/>
      <c r="J132" s="2558">
        <v>9</v>
      </c>
      <c r="K132" s="2559"/>
      <c r="L132" s="2559"/>
      <c r="M132" s="2560"/>
      <c r="N132" s="2561"/>
      <c r="O132" s="2561"/>
      <c r="P132" s="2578"/>
    </row>
    <row r="133" spans="1:16" s="305" customFormat="1" ht="13.15" customHeight="1">
      <c r="A133" s="501"/>
      <c r="B133" s="501"/>
      <c r="C133" s="2558">
        <v>4</v>
      </c>
      <c r="D133" s="2559"/>
      <c r="E133" s="2559"/>
      <c r="F133" s="2560"/>
      <c r="G133" s="2561"/>
      <c r="H133" s="2561"/>
      <c r="I133" s="2578"/>
      <c r="J133" s="2558">
        <v>10</v>
      </c>
      <c r="K133" s="2559"/>
      <c r="L133" s="2559"/>
      <c r="M133" s="2560"/>
      <c r="N133" s="2561"/>
      <c r="O133" s="2561"/>
      <c r="P133" s="2578"/>
    </row>
    <row r="134" spans="1:16" s="305" customFormat="1" ht="13.15" customHeight="1">
      <c r="A134" s="501"/>
      <c r="B134" s="501"/>
      <c r="C134" s="2558">
        <v>5</v>
      </c>
      <c r="D134" s="2559"/>
      <c r="E134" s="2559"/>
      <c r="F134" s="2560"/>
      <c r="G134" s="2561"/>
      <c r="H134" s="2561"/>
      <c r="I134" s="2578"/>
      <c r="J134" s="2558">
        <v>11</v>
      </c>
      <c r="K134" s="2559"/>
      <c r="L134" s="2559"/>
      <c r="M134" s="2560"/>
      <c r="N134" s="2561"/>
      <c r="O134" s="2561"/>
      <c r="P134" s="2578"/>
    </row>
    <row r="135" spans="1:16" s="305" customFormat="1" ht="13.15" customHeight="1">
      <c r="A135" s="501"/>
      <c r="B135" s="501"/>
      <c r="C135" s="2573">
        <v>6</v>
      </c>
      <c r="D135" s="2574"/>
      <c r="E135" s="2574"/>
      <c r="F135" s="2575"/>
      <c r="G135" s="2576"/>
      <c r="H135" s="2576"/>
      <c r="I135" s="2586"/>
      <c r="J135" s="2573">
        <v>12</v>
      </c>
      <c r="K135" s="2574"/>
      <c r="L135" s="2574"/>
      <c r="M135" s="2575"/>
      <c r="N135" s="2576"/>
      <c r="O135" s="2576"/>
      <c r="P135" s="2586"/>
    </row>
    <row r="136" spans="1:16" s="305" customFormat="1" ht="4.5" customHeight="1">
      <c r="A136" s="501"/>
      <c r="B136" s="501"/>
      <c r="C136" s="1560"/>
      <c r="D136" s="1560"/>
      <c r="E136" s="1560"/>
      <c r="F136" s="1571"/>
      <c r="G136" s="1571"/>
      <c r="H136" s="1571"/>
      <c r="I136" s="1571"/>
      <c r="J136" s="322"/>
      <c r="K136" s="1571"/>
      <c r="L136" s="1571"/>
      <c r="N136" s="1570"/>
      <c r="O136" s="1570"/>
      <c r="P136" s="315"/>
    </row>
    <row r="137" spans="1:16" s="305" customFormat="1" ht="3" customHeight="1">
      <c r="A137" s="501"/>
      <c r="B137" s="501"/>
      <c r="C137" s="1560"/>
      <c r="D137" s="1560"/>
      <c r="E137" s="1560"/>
      <c r="F137" s="1571"/>
      <c r="G137" s="1571"/>
      <c r="H137" s="1571"/>
      <c r="I137" s="1571"/>
      <c r="J137" s="322"/>
      <c r="K137" s="1571"/>
      <c r="L137" s="1571"/>
      <c r="N137" s="1570"/>
      <c r="O137" s="1570"/>
      <c r="P137" s="315"/>
    </row>
    <row r="138" spans="1:16" s="305" customFormat="1" ht="13.15" customHeight="1">
      <c r="A138" s="333" t="s">
        <v>366</v>
      </c>
      <c r="B138" s="330" t="s">
        <v>2434</v>
      </c>
      <c r="D138" s="330"/>
      <c r="E138" s="330"/>
      <c r="F138" s="330"/>
      <c r="I138" s="2407" t="s">
        <v>3013</v>
      </c>
      <c r="M138" s="1571"/>
      <c r="N138" s="1570"/>
      <c r="O138" s="1570"/>
      <c r="P138" s="315"/>
    </row>
    <row r="139" spans="1:16" s="305" customFormat="1" ht="3" customHeight="1">
      <c r="A139" s="333"/>
      <c r="B139" s="501"/>
      <c r="C139" s="1563"/>
      <c r="D139" s="1563"/>
      <c r="E139" s="1563"/>
      <c r="F139" s="1563"/>
      <c r="G139" s="1571"/>
      <c r="M139" s="1571"/>
      <c r="N139" s="1570"/>
      <c r="O139" s="1570"/>
    </row>
    <row r="140" spans="1:16" s="305" customFormat="1" ht="13.15" customHeight="1">
      <c r="A140" s="501"/>
      <c r="B140" s="501" t="s">
        <v>1999</v>
      </c>
      <c r="C140" s="311" t="s">
        <v>1726</v>
      </c>
      <c r="I140" s="2359"/>
      <c r="M140" s="1571"/>
      <c r="N140" s="1570"/>
      <c r="O140" s="1570"/>
      <c r="P140" s="315"/>
    </row>
    <row r="141" spans="1:16" s="305" customFormat="1" ht="13.15" customHeight="1">
      <c r="A141" s="501"/>
      <c r="B141" s="501"/>
      <c r="C141" s="1560" t="s">
        <v>2436</v>
      </c>
      <c r="D141" s="1560"/>
      <c r="E141" s="1560"/>
      <c r="F141" s="1571"/>
      <c r="I141" s="2418"/>
      <c r="N141" s="1570"/>
      <c r="O141" s="1570"/>
      <c r="P141" s="315"/>
    </row>
    <row r="142" spans="1:16" s="305" customFormat="1" ht="13.15" customHeight="1">
      <c r="A142" s="501"/>
      <c r="B142" s="501"/>
      <c r="C142" s="338" t="s">
        <v>1725</v>
      </c>
      <c r="D142" s="310"/>
      <c r="I142" s="2360"/>
      <c r="P142" s="315"/>
    </row>
    <row r="143" spans="1:16" s="305" customFormat="1" ht="13.15" customHeight="1">
      <c r="A143" s="501"/>
      <c r="B143" s="501"/>
      <c r="C143" s="1560" t="s">
        <v>2437</v>
      </c>
      <c r="D143" s="1560"/>
      <c r="E143" s="1560"/>
      <c r="F143" s="1571"/>
      <c r="I143" s="2418"/>
      <c r="K143" s="280" t="s">
        <v>2261</v>
      </c>
      <c r="O143" s="2460" t="s">
        <v>489</v>
      </c>
      <c r="P143" s="2462"/>
    </row>
    <row r="144" spans="1:16" s="305" customFormat="1" ht="13.15" customHeight="1">
      <c r="A144" s="501"/>
      <c r="B144" s="501"/>
      <c r="C144" s="1560" t="s">
        <v>2435</v>
      </c>
      <c r="F144" s="1571"/>
      <c r="I144" s="2419"/>
      <c r="K144" s="280" t="s">
        <v>2262</v>
      </c>
      <c r="O144" s="2479" t="s">
        <v>489</v>
      </c>
      <c r="P144" s="2451"/>
    </row>
    <row r="145" spans="1:16" s="305" customFormat="1" ht="13.15" customHeight="1">
      <c r="A145" s="501"/>
      <c r="B145" s="501"/>
      <c r="C145" s="1560" t="s">
        <v>2182</v>
      </c>
      <c r="D145" s="1560"/>
      <c r="E145" s="1560"/>
      <c r="F145" s="1571"/>
      <c r="I145" s="2581"/>
      <c r="J145" s="2582"/>
      <c r="N145" s="1570"/>
      <c r="O145" s="1570"/>
      <c r="P145" s="315"/>
    </row>
    <row r="146" spans="1:16" s="305" customFormat="1" ht="3" customHeight="1">
      <c r="A146" s="501"/>
      <c r="B146" s="501"/>
      <c r="C146" s="1560"/>
      <c r="D146" s="1560"/>
      <c r="E146" s="1560"/>
      <c r="F146" s="1571"/>
      <c r="N146" s="1570"/>
      <c r="O146" s="1570"/>
      <c r="P146" s="315"/>
    </row>
    <row r="147" spans="1:16" s="305" customFormat="1" ht="13.15" customHeight="1">
      <c r="A147" s="501"/>
      <c r="B147" s="501" t="s">
        <v>2001</v>
      </c>
      <c r="C147" s="1563" t="s">
        <v>2506</v>
      </c>
      <c r="D147" s="1560"/>
      <c r="E147" s="1560"/>
      <c r="F147" s="1571"/>
      <c r="I147" s="2413"/>
      <c r="N147" s="1570"/>
      <c r="O147" s="1570"/>
      <c r="P147" s="315"/>
    </row>
    <row r="148" spans="1:16" s="305" customFormat="1" ht="3" customHeight="1">
      <c r="A148" s="501"/>
      <c r="B148" s="501"/>
      <c r="C148" s="1560"/>
      <c r="D148" s="1560"/>
      <c r="E148" s="1560"/>
      <c r="F148" s="1571"/>
      <c r="G148" s="1571"/>
      <c r="M148" s="1571"/>
      <c r="N148" s="1570"/>
      <c r="O148" s="1570"/>
      <c r="P148" s="315"/>
    </row>
    <row r="149" spans="1:16" s="305" customFormat="1" ht="13.15" customHeight="1">
      <c r="A149" s="501"/>
      <c r="B149" s="501" t="s">
        <v>757</v>
      </c>
      <c r="C149" s="1563" t="s">
        <v>2719</v>
      </c>
      <c r="D149" s="1560"/>
      <c r="E149" s="1560"/>
      <c r="F149" s="1571"/>
      <c r="G149" s="1571"/>
      <c r="N149" s="1570"/>
      <c r="O149" s="1570"/>
      <c r="P149" s="315"/>
    </row>
    <row r="150" spans="1:16" s="305" customFormat="1" ht="13.15" customHeight="1">
      <c r="A150" s="501"/>
      <c r="B150" s="501"/>
      <c r="C150" s="1560" t="s">
        <v>726</v>
      </c>
      <c r="D150" s="1560"/>
      <c r="E150" s="1560"/>
      <c r="F150" s="1571"/>
      <c r="G150" s="1571"/>
      <c r="I150" s="2413"/>
      <c r="K150" s="1560" t="s">
        <v>1547</v>
      </c>
      <c r="L150" s="1560"/>
      <c r="M150" s="1571"/>
      <c r="N150" s="1571"/>
      <c r="O150" s="2413"/>
      <c r="P150" s="315"/>
    </row>
    <row r="151" spans="1:16" s="305" customFormat="1" ht="6" customHeight="1">
      <c r="A151" s="501"/>
      <c r="B151" s="501"/>
      <c r="C151" s="1560"/>
      <c r="D151" s="1560"/>
      <c r="E151" s="1560"/>
      <c r="F151" s="1571"/>
      <c r="G151" s="1571"/>
      <c r="H151" s="1571"/>
      <c r="I151" s="1571"/>
      <c r="J151" s="322"/>
      <c r="K151" s="1571"/>
      <c r="L151" s="1571"/>
      <c r="N151" s="1570"/>
      <c r="O151" s="1570"/>
      <c r="P151" s="315"/>
    </row>
    <row r="152" spans="1:16" s="305" customFormat="1" ht="13.15" customHeight="1">
      <c r="A152" s="333" t="s">
        <v>1739</v>
      </c>
      <c r="B152" s="330" t="s">
        <v>1201</v>
      </c>
      <c r="D152" s="330"/>
      <c r="E152" s="330"/>
      <c r="F152" s="330"/>
      <c r="G152" s="1571"/>
      <c r="H152" s="1571"/>
      <c r="I152" s="1571"/>
      <c r="J152" s="322"/>
      <c r="K152" s="1571"/>
      <c r="L152" s="1571"/>
      <c r="N152" s="1570"/>
      <c r="O152" s="1570"/>
      <c r="P152" s="315"/>
    </row>
    <row r="153" spans="1:16" s="305" customFormat="1" ht="1.9" customHeight="1">
      <c r="A153" s="333"/>
      <c r="B153" s="501"/>
      <c r="C153" s="1563"/>
      <c r="D153" s="1563"/>
      <c r="E153" s="1563"/>
      <c r="F153" s="1563"/>
      <c r="G153" s="1571"/>
      <c r="H153" s="1571"/>
      <c r="I153" s="1571"/>
      <c r="J153" s="322"/>
      <c r="K153" s="1571"/>
      <c r="L153" s="1571"/>
      <c r="N153" s="1570"/>
      <c r="O153" s="1570"/>
    </row>
    <row r="154" spans="1:16" s="305" customFormat="1" ht="13.15" customHeight="1">
      <c r="A154" s="501"/>
      <c r="B154" s="501" t="s">
        <v>1999</v>
      </c>
      <c r="C154" s="321" t="s">
        <v>1836</v>
      </c>
      <c r="F154" s="1571"/>
      <c r="G154" s="1571"/>
      <c r="H154" s="1571"/>
      <c r="I154" s="1571"/>
      <c r="J154" s="322"/>
      <c r="K154" s="1571"/>
      <c r="L154" s="1571"/>
      <c r="N154" s="1570"/>
      <c r="O154" s="1570"/>
      <c r="P154" s="315"/>
    </row>
    <row r="155" spans="1:16" s="305" customFormat="1" ht="12.6" customHeight="1">
      <c r="A155" s="501"/>
      <c r="B155" s="501"/>
      <c r="C155" s="329" t="s">
        <v>1539</v>
      </c>
      <c r="D155" s="322"/>
      <c r="E155" s="322"/>
      <c r="F155" s="1571"/>
      <c r="G155" s="1571"/>
      <c r="H155" s="1571"/>
      <c r="I155" s="1571"/>
      <c r="K155" s="2420" t="s">
        <v>3013</v>
      </c>
      <c r="N155" s="1570"/>
      <c r="O155" s="1570"/>
      <c r="P155" s="315"/>
    </row>
    <row r="156" spans="1:16" s="305" customFormat="1" ht="12.6" customHeight="1">
      <c r="A156" s="501"/>
      <c r="B156" s="501"/>
      <c r="C156" s="305" t="s">
        <v>621</v>
      </c>
      <c r="K156" s="2421">
        <v>0</v>
      </c>
      <c r="L156" s="310" t="s">
        <v>1808</v>
      </c>
      <c r="P156" s="339">
        <f>IF('Part VI-Revenues &amp; Expenses'!O$60=0,0,K156/'Part VI-Revenues &amp; Expenses'!$O$60)</f>
        <v>0</v>
      </c>
    </row>
    <row r="157" spans="1:16" s="305" customFormat="1" ht="12.6" customHeight="1">
      <c r="A157" s="501"/>
      <c r="B157" s="501"/>
      <c r="C157" s="305" t="s">
        <v>3753</v>
      </c>
      <c r="H157" s="2409">
        <v>25</v>
      </c>
      <c r="I157" s="179"/>
      <c r="J157" s="901" t="s">
        <v>3752</v>
      </c>
      <c r="K157" s="2421"/>
      <c r="L157" s="310" t="s">
        <v>1808</v>
      </c>
      <c r="O157" s="339">
        <f>IF('Part VI-Revenues &amp; Expenses'!$O$60=0,0,H157/'Part VI-Revenues &amp; Expenses'!$O$60)</f>
        <v>0.38461538461538464</v>
      </c>
      <c r="P157" s="339">
        <f>IF('Part VI-Revenues &amp; Expenses'!O$60=0,0,K157/'Part VI-Revenues &amp; Expenses'!$O$60)</f>
        <v>0</v>
      </c>
    </row>
    <row r="158" spans="1:16" s="305" customFormat="1" ht="12.6" customHeight="1">
      <c r="A158" s="501"/>
      <c r="B158" s="501"/>
      <c r="C158" s="305" t="s">
        <v>1809</v>
      </c>
      <c r="E158" s="2460" t="s">
        <v>4574</v>
      </c>
      <c r="F158" s="2461"/>
      <c r="G158" s="2461"/>
      <c r="H158" s="2461"/>
      <c r="I158" s="2461"/>
      <c r="J158" s="2461"/>
      <c r="K158" s="2489"/>
      <c r="L158" s="340" t="s">
        <v>1810</v>
      </c>
      <c r="M158" s="2583" t="s">
        <v>4559</v>
      </c>
      <c r="N158" s="2584"/>
      <c r="O158" s="2584"/>
      <c r="P158" s="2585"/>
    </row>
    <row r="159" spans="1:16" s="305" customFormat="1" ht="12.6" customHeight="1">
      <c r="A159" s="501"/>
      <c r="B159" s="501"/>
      <c r="C159" s="310" t="s">
        <v>1811</v>
      </c>
      <c r="D159" s="318"/>
      <c r="E159" s="2448" t="s">
        <v>4557</v>
      </c>
      <c r="F159" s="2449"/>
      <c r="G159" s="2449"/>
      <c r="H159" s="2449"/>
      <c r="I159" s="2450"/>
      <c r="J159" s="2449"/>
      <c r="K159" s="2454"/>
      <c r="L159" s="340" t="s">
        <v>1815</v>
      </c>
      <c r="M159" s="2594">
        <v>4787525070</v>
      </c>
      <c r="N159" s="2595"/>
      <c r="O159" s="2596"/>
    </row>
    <row r="160" spans="1:16" s="305" customFormat="1" ht="12.6" customHeight="1">
      <c r="A160" s="501"/>
      <c r="B160" s="501"/>
      <c r="C160" s="310" t="s">
        <v>624</v>
      </c>
      <c r="E160" s="2479" t="s">
        <v>4575</v>
      </c>
      <c r="F160" s="2450"/>
      <c r="G160" s="2450"/>
      <c r="H160" s="2451"/>
      <c r="I160" s="335" t="s">
        <v>2245</v>
      </c>
      <c r="J160" s="2457">
        <v>312012404</v>
      </c>
      <c r="K160" s="2459"/>
      <c r="L160" s="341" t="s">
        <v>1995</v>
      </c>
      <c r="M160" s="2594">
        <v>4783207044</v>
      </c>
      <c r="N160" s="2595"/>
      <c r="O160" s="2596"/>
    </row>
    <row r="161" spans="1:16" s="305" customFormat="1" ht="12.6" customHeight="1">
      <c r="A161" s="501"/>
      <c r="B161" s="501"/>
      <c r="C161" s="310" t="s">
        <v>1814</v>
      </c>
      <c r="E161" s="2466">
        <v>4787525071</v>
      </c>
      <c r="F161" s="2569"/>
      <c r="G161" s="2467"/>
      <c r="H161" s="1557"/>
      <c r="I161" s="1562" t="s">
        <v>1813</v>
      </c>
      <c r="J161" s="2597" t="s">
        <v>4561</v>
      </c>
      <c r="K161" s="2571"/>
      <c r="L161" s="2471"/>
      <c r="M161" s="2571"/>
      <c r="N161" s="2571"/>
      <c r="O161" s="2571"/>
      <c r="P161" s="2472"/>
    </row>
    <row r="162" spans="1:16" s="305" customFormat="1" ht="6" customHeight="1">
      <c r="A162" s="501"/>
      <c r="B162" s="501"/>
      <c r="C162" s="310"/>
      <c r="E162" s="342"/>
      <c r="F162" s="342"/>
      <c r="G162" s="342"/>
      <c r="H162" s="1571"/>
      <c r="I162" s="342"/>
      <c r="J162" s="342"/>
      <c r="K162" s="1571"/>
      <c r="L162" s="342"/>
      <c r="M162" s="342"/>
      <c r="N162" s="1571"/>
      <c r="O162" s="342"/>
      <c r="P162" s="342"/>
    </row>
    <row r="163" spans="1:16" s="305" customFormat="1" ht="12.6" customHeight="1">
      <c r="A163" s="501"/>
      <c r="B163" s="501" t="s">
        <v>2001</v>
      </c>
      <c r="C163" s="1563" t="s">
        <v>2720</v>
      </c>
      <c r="D163" s="1563"/>
      <c r="E163" s="1563"/>
      <c r="F163" s="1563"/>
      <c r="G163" s="1563"/>
      <c r="I163" s="2413" t="s">
        <v>3013</v>
      </c>
      <c r="J163" s="2587" t="s">
        <v>769</v>
      </c>
      <c r="K163" s="2588"/>
      <c r="L163" s="2413"/>
      <c r="M163" s="2589" t="s">
        <v>2342</v>
      </c>
      <c r="N163" s="2590"/>
      <c r="O163" s="2591"/>
      <c r="P163" s="2422"/>
    </row>
    <row r="164" spans="1:16" s="305" customFormat="1" ht="6" customHeight="1">
      <c r="A164" s="501"/>
      <c r="B164" s="501"/>
      <c r="C164" s="1563"/>
      <c r="D164" s="1563"/>
      <c r="E164" s="307"/>
      <c r="F164" s="1563"/>
      <c r="G164" s="1563"/>
      <c r="J164" s="314"/>
      <c r="K164" s="343"/>
      <c r="M164" s="1570"/>
      <c r="O164" s="1571"/>
      <c r="P164" s="315"/>
    </row>
    <row r="165" spans="1:16" s="305" customFormat="1" ht="12.6" customHeight="1">
      <c r="A165" s="501"/>
      <c r="B165" s="501"/>
      <c r="C165" s="1563" t="s">
        <v>2721</v>
      </c>
      <c r="D165" s="1563"/>
      <c r="E165" s="1563"/>
      <c r="F165" s="1563"/>
      <c r="G165" s="1563"/>
      <c r="I165" s="2413" t="s">
        <v>3010</v>
      </c>
      <c r="J165" s="2587" t="s">
        <v>769</v>
      </c>
      <c r="K165" s="2588"/>
      <c r="L165" s="2413">
        <v>2040</v>
      </c>
      <c r="M165" s="2589" t="s">
        <v>2342</v>
      </c>
      <c r="N165" s="2590"/>
      <c r="O165" s="2591"/>
      <c r="P165" s="2422">
        <v>5</v>
      </c>
    </row>
    <row r="166" spans="1:16" s="305" customFormat="1" ht="6" customHeight="1">
      <c r="A166" s="501"/>
      <c r="B166" s="501"/>
      <c r="C166" s="1563"/>
      <c r="D166" s="1563"/>
      <c r="E166" s="307"/>
      <c r="F166" s="1563"/>
      <c r="G166" s="1563"/>
      <c r="J166" s="314"/>
      <c r="K166" s="343"/>
      <c r="M166" s="1570"/>
      <c r="O166" s="1571"/>
      <c r="P166" s="315"/>
    </row>
    <row r="167" spans="1:16" s="305" customFormat="1" ht="12.6" customHeight="1">
      <c r="A167" s="501"/>
      <c r="B167" s="501" t="s">
        <v>757</v>
      </c>
      <c r="C167" s="1563" t="s">
        <v>1770</v>
      </c>
      <c r="D167" s="1563"/>
      <c r="E167" s="1563"/>
      <c r="F167" s="1563"/>
      <c r="G167" s="1563"/>
      <c r="I167" s="2413" t="s">
        <v>3013</v>
      </c>
      <c r="L167" s="280"/>
      <c r="M167" s="280"/>
      <c r="P167" s="315"/>
    </row>
    <row r="168" spans="1:16" s="305" customFormat="1" ht="6" customHeight="1">
      <c r="A168" s="501"/>
      <c r="B168" s="501"/>
      <c r="C168" s="310"/>
      <c r="E168" s="342"/>
      <c r="F168" s="342"/>
      <c r="G168" s="342"/>
      <c r="I168" s="342"/>
      <c r="J168" s="342"/>
      <c r="K168" s="1571"/>
      <c r="L168" s="342"/>
      <c r="M168" s="342"/>
      <c r="N168" s="1571"/>
      <c r="O168" s="342"/>
      <c r="P168" s="342"/>
    </row>
    <row r="169" spans="1:16" s="305" customFormat="1" ht="12.6" customHeight="1">
      <c r="A169" s="501"/>
      <c r="B169" s="501" t="s">
        <v>2131</v>
      </c>
      <c r="C169" s="2592" t="s">
        <v>1994</v>
      </c>
      <c r="D169" s="2592"/>
      <c r="E169" s="2592"/>
      <c r="F169" s="2592"/>
      <c r="G169" s="1563"/>
      <c r="I169" s="2413" t="s">
        <v>3013</v>
      </c>
      <c r="J169" s="345" t="s">
        <v>2771</v>
      </c>
      <c r="L169" s="2593" t="s">
        <v>3728</v>
      </c>
      <c r="M169" s="2593"/>
      <c r="N169" s="1563"/>
      <c r="O169" s="1563"/>
      <c r="P169" s="2408"/>
    </row>
    <row r="170" spans="1:16" s="305" customFormat="1" ht="12.6" customHeight="1">
      <c r="B170" s="501"/>
      <c r="L170" s="2522" t="s">
        <v>805</v>
      </c>
      <c r="M170" s="2522"/>
      <c r="N170" s="1563"/>
      <c r="O170" s="1563"/>
      <c r="P170" s="2410"/>
    </row>
    <row r="171" spans="1:16" s="305" customFormat="1" ht="12.6" customHeight="1">
      <c r="A171" s="501"/>
      <c r="B171" s="501"/>
      <c r="L171" s="2522" t="s">
        <v>1804</v>
      </c>
      <c r="M171" s="2522"/>
      <c r="N171" s="1563"/>
      <c r="O171" s="1563"/>
      <c r="P171" s="344" t="str">
        <f>IF(P169="","",P170/P169)</f>
        <v/>
      </c>
    </row>
    <row r="172" spans="1:16" s="305" customFormat="1" ht="13.15" customHeight="1">
      <c r="A172" s="501"/>
      <c r="B172" s="501" t="s">
        <v>1748</v>
      </c>
      <c r="C172" s="277" t="s">
        <v>1621</v>
      </c>
      <c r="D172" s="1560"/>
      <c r="E172" s="1560"/>
      <c r="F172" s="1560"/>
      <c r="G172" s="1560"/>
      <c r="H172" s="1571"/>
      <c r="J172" s="314"/>
      <c r="K172" s="322"/>
      <c r="M172" s="1570"/>
      <c r="O172" s="1571"/>
      <c r="P172" s="315"/>
    </row>
    <row r="173" spans="1:16" s="305" customFormat="1" ht="12.6" customHeight="1">
      <c r="A173" s="501"/>
      <c r="B173" s="501"/>
      <c r="C173" s="1570" t="s">
        <v>2228</v>
      </c>
      <c r="D173" s="316"/>
      <c r="E173" s="1570"/>
      <c r="F173" s="1570"/>
      <c r="I173" s="2420" t="s">
        <v>3010</v>
      </c>
      <c r="L173" s="1570" t="s">
        <v>1622</v>
      </c>
      <c r="M173" s="1570"/>
      <c r="N173" s="1570"/>
      <c r="P173" s="2420" t="s">
        <v>3010</v>
      </c>
    </row>
    <row r="174" spans="1:16" s="305" customFormat="1" ht="12.6" customHeight="1">
      <c r="A174" s="501"/>
      <c r="B174" s="501"/>
      <c r="C174" s="1570" t="s">
        <v>2229</v>
      </c>
      <c r="I174" s="2419" t="s">
        <v>3013</v>
      </c>
      <c r="L174" s="1570" t="s">
        <v>2863</v>
      </c>
      <c r="M174" s="1570"/>
      <c r="N174" s="1570"/>
      <c r="P174" s="2419" t="s">
        <v>3013</v>
      </c>
    </row>
    <row r="175" spans="1:16" s="305" customFormat="1" ht="12.6" customHeight="1">
      <c r="A175" s="501"/>
      <c r="C175" s="1570" t="s">
        <v>2740</v>
      </c>
      <c r="I175" s="2419" t="s">
        <v>3013</v>
      </c>
      <c r="L175" s="1570" t="s">
        <v>2707</v>
      </c>
      <c r="N175" s="2602"/>
      <c r="O175" s="2603"/>
      <c r="P175" s="2419"/>
    </row>
    <row r="176" spans="1:16" s="305" customFormat="1" ht="12.6" customHeight="1">
      <c r="A176" s="501"/>
      <c r="B176" s="501"/>
      <c r="C176" s="1570" t="s">
        <v>1297</v>
      </c>
      <c r="D176" s="346"/>
      <c r="I176" s="2419" t="s">
        <v>3013</v>
      </c>
      <c r="K176" s="316"/>
      <c r="L176" s="1570" t="s">
        <v>3505</v>
      </c>
      <c r="M176" s="1570"/>
      <c r="N176" s="1570"/>
      <c r="P176" s="2419" t="s">
        <v>3013</v>
      </c>
    </row>
    <row r="177" spans="1:21" s="305" customFormat="1" ht="12.6" customHeight="1">
      <c r="A177" s="501"/>
      <c r="B177" s="307"/>
      <c r="C177" s="1570" t="s">
        <v>1820</v>
      </c>
      <c r="I177" s="2419" t="s">
        <v>3013</v>
      </c>
      <c r="J177" s="345" t="s">
        <v>2772</v>
      </c>
      <c r="O177" s="2604"/>
      <c r="P177" s="2605"/>
    </row>
    <row r="178" spans="1:21" s="305" customFormat="1" ht="12.6" customHeight="1">
      <c r="A178" s="501"/>
      <c r="B178" s="501"/>
      <c r="C178" s="1570" t="s">
        <v>2921</v>
      </c>
      <c r="I178" s="2423" t="s">
        <v>3013</v>
      </c>
      <c r="J178" s="345" t="s">
        <v>2772</v>
      </c>
      <c r="O178" s="2606"/>
      <c r="P178" s="2607"/>
    </row>
    <row r="179" spans="1:21" s="305" customFormat="1" ht="3" customHeight="1">
      <c r="A179" s="501"/>
      <c r="B179" s="501"/>
      <c r="P179" s="314"/>
    </row>
    <row r="180" spans="1:21" s="305" customFormat="1" ht="13.15" customHeight="1">
      <c r="B180" s="501" t="s">
        <v>1749</v>
      </c>
      <c r="C180" s="311" t="s">
        <v>747</v>
      </c>
    </row>
    <row r="181" spans="1:21" s="305" customFormat="1" ht="12.6" customHeight="1">
      <c r="A181" s="501"/>
      <c r="B181" s="501"/>
      <c r="C181" s="310" t="s">
        <v>645</v>
      </c>
      <c r="D181" s="1560"/>
      <c r="E181" s="1560"/>
      <c r="F181" s="1571"/>
      <c r="G181" s="1571"/>
      <c r="H181" s="2539" t="s">
        <v>979</v>
      </c>
      <c r="I181" s="2540"/>
      <c r="N181" s="1570"/>
      <c r="O181" s="1570"/>
      <c r="P181" s="315"/>
    </row>
    <row r="182" spans="1:21" s="305" customFormat="1" ht="12.6" customHeight="1">
      <c r="A182" s="501"/>
      <c r="B182" s="501"/>
      <c r="C182" s="310" t="s">
        <v>278</v>
      </c>
      <c r="D182" s="1560"/>
      <c r="E182" s="1560"/>
      <c r="F182" s="1571"/>
      <c r="G182" s="1571"/>
      <c r="H182" s="2598" t="s">
        <v>979</v>
      </c>
      <c r="I182" s="2599"/>
      <c r="N182" s="1570"/>
      <c r="O182" s="1570"/>
      <c r="P182" s="315"/>
    </row>
    <row r="183" spans="1:21" s="305" customFormat="1" ht="12.6" customHeight="1">
      <c r="A183" s="501"/>
      <c r="B183" s="501"/>
      <c r="C183" s="310" t="s">
        <v>2311</v>
      </c>
      <c r="D183" s="1560"/>
      <c r="E183" s="1560"/>
      <c r="F183" s="1571"/>
      <c r="G183" s="1571"/>
      <c r="H183" s="2600">
        <v>44196</v>
      </c>
      <c r="I183" s="2601"/>
      <c r="N183" s="1570"/>
      <c r="O183" s="1570"/>
      <c r="P183" s="315"/>
    </row>
    <row r="184" spans="1:21" s="305" customFormat="1" ht="6" customHeight="1">
      <c r="B184" s="307"/>
      <c r="C184" s="1570"/>
      <c r="H184" s="1570"/>
      <c r="L184" s="324"/>
      <c r="M184" s="324"/>
      <c r="N184" s="324"/>
      <c r="O184" s="324"/>
      <c r="P184" s="312"/>
    </row>
    <row r="185" spans="1:21" ht="12" customHeight="1">
      <c r="A185" s="333" t="s">
        <v>2800</v>
      </c>
      <c r="C185" s="333" t="s">
        <v>577</v>
      </c>
      <c r="M185" s="333" t="s">
        <v>2267</v>
      </c>
      <c r="N185" s="333" t="s">
        <v>80</v>
      </c>
    </row>
    <row r="186" spans="1:21" ht="409.5" customHeight="1">
      <c r="A186" s="2608" t="s">
        <v>4576</v>
      </c>
      <c r="B186" s="2609"/>
      <c r="C186" s="2609"/>
      <c r="D186" s="2609"/>
      <c r="E186" s="2609"/>
      <c r="F186" s="2609"/>
      <c r="G186" s="2609"/>
      <c r="H186" s="2609"/>
      <c r="I186" s="2609"/>
      <c r="J186" s="2609"/>
      <c r="K186" s="2609"/>
      <c r="L186" s="2610"/>
      <c r="M186" s="2611"/>
      <c r="N186" s="2612"/>
      <c r="O186" s="2612"/>
      <c r="P186" s="2613"/>
      <c r="Q186" s="2433" t="s">
        <v>2710</v>
      </c>
      <c r="R186" s="2433"/>
      <c r="S186" s="2433"/>
      <c r="T186" s="2433"/>
      <c r="U186" s="2433"/>
    </row>
    <row r="187" spans="1:21" ht="12" customHeight="1">
      <c r="Q187" s="2433"/>
      <c r="R187" s="2433"/>
      <c r="S187" s="2433"/>
      <c r="T187" s="2433"/>
      <c r="U187" s="2433"/>
    </row>
    <row r="190" spans="1:21">
      <c r="B190" s="1175"/>
      <c r="C190" s="1181"/>
      <c r="D190" s="1181"/>
      <c r="E190" s="1181"/>
      <c r="F190" s="1181"/>
      <c r="G190" s="1181"/>
      <c r="H190" s="1181"/>
      <c r="I190" s="1181"/>
      <c r="J190" s="1181"/>
      <c r="K190" s="1181"/>
      <c r="L190" s="1181"/>
      <c r="M190" s="1181"/>
      <c r="N190" s="1181"/>
      <c r="O190" s="1181"/>
      <c r="P190" s="1181"/>
      <c r="Q190" s="1181"/>
      <c r="R190" s="1181"/>
    </row>
    <row r="191" spans="1:21">
      <c r="B191" s="1175"/>
      <c r="C191" s="1181"/>
      <c r="D191" s="1181"/>
      <c r="E191" s="1181"/>
      <c r="F191" s="1181"/>
      <c r="G191" s="1181"/>
      <c r="H191" s="1181"/>
      <c r="I191" s="1181"/>
      <c r="J191" s="1181"/>
      <c r="K191" s="1181"/>
      <c r="L191" s="1181"/>
      <c r="M191" s="1181"/>
      <c r="N191" s="1181"/>
      <c r="O191" s="1181"/>
      <c r="P191" s="1181"/>
      <c r="Q191" s="1181"/>
      <c r="R191" s="1181"/>
    </row>
    <row r="192" spans="1:21">
      <c r="B192" s="1175"/>
      <c r="C192" s="1181"/>
      <c r="D192" s="1181"/>
      <c r="E192" s="1181"/>
      <c r="F192" s="1181"/>
      <c r="G192" s="1181"/>
      <c r="H192" s="1181"/>
      <c r="I192" s="1181"/>
      <c r="J192" s="1181"/>
      <c r="K192" s="1181"/>
      <c r="L192" s="1181"/>
      <c r="M192" s="1181"/>
      <c r="N192" s="1181"/>
      <c r="O192" s="1181"/>
      <c r="P192" s="1181"/>
      <c r="Q192" s="1181"/>
      <c r="R192" s="1181"/>
    </row>
    <row r="193" spans="1:44">
      <c r="B193" s="1175"/>
      <c r="C193" s="1181"/>
      <c r="D193" s="1181"/>
      <c r="E193" s="1181"/>
      <c r="F193" s="1181"/>
      <c r="G193" s="1181"/>
      <c r="H193" s="1181"/>
      <c r="I193" s="1181"/>
      <c r="J193" s="1181"/>
      <c r="K193" s="1181"/>
      <c r="L193" s="1181"/>
      <c r="M193" s="1181"/>
      <c r="N193" s="1181"/>
      <c r="O193" s="1181"/>
      <c r="P193" s="1181"/>
      <c r="Q193" s="1181"/>
      <c r="R193" s="1181"/>
    </row>
    <row r="194" spans="1:44" s="506" customFormat="1" ht="12" customHeight="1">
      <c r="A194" s="324"/>
      <c r="B194" s="1175"/>
      <c r="C194" s="1181"/>
      <c r="D194" s="1181"/>
      <c r="E194" s="1181"/>
      <c r="F194" s="1181"/>
      <c r="G194" s="1181"/>
      <c r="H194" s="1181"/>
      <c r="I194" s="1181"/>
      <c r="J194" s="1181"/>
      <c r="K194" s="1181"/>
      <c r="L194" s="1181"/>
      <c r="M194" s="1181"/>
      <c r="N194" s="1181"/>
      <c r="O194" s="1181"/>
      <c r="P194" s="1181"/>
      <c r="Q194" s="1181"/>
      <c r="R194" s="1181"/>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2.9" customHeight="1">
      <c r="A195" s="324"/>
      <c r="B195" s="1181"/>
      <c r="C195" s="1181"/>
      <c r="D195" s="1181"/>
      <c r="E195" s="1181"/>
      <c r="F195" s="1181"/>
      <c r="G195" s="1181"/>
      <c r="H195" s="1181"/>
      <c r="I195" s="1181"/>
      <c r="J195" s="1181"/>
      <c r="K195" s="1181"/>
      <c r="L195" s="1181"/>
      <c r="M195" s="1181"/>
      <c r="N195" s="1181"/>
      <c r="O195" s="1181"/>
      <c r="P195" s="1182"/>
      <c r="Q195" s="1181"/>
      <c r="R195" s="1181"/>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81"/>
      <c r="C196" s="1181"/>
      <c r="D196" s="1181"/>
      <c r="E196" s="1181"/>
      <c r="F196" s="1181"/>
      <c r="G196" s="1181"/>
      <c r="H196" s="1181"/>
      <c r="I196" s="1181"/>
      <c r="J196" s="1181"/>
      <c r="K196" s="1181"/>
      <c r="L196" s="1181"/>
      <c r="M196" s="1181"/>
      <c r="N196" s="1181"/>
      <c r="O196" s="1181"/>
      <c r="P196" s="1183"/>
      <c r="Q196" s="1181"/>
      <c r="R196" s="1181"/>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81"/>
      <c r="C197" s="1181"/>
      <c r="D197" s="1181"/>
      <c r="E197" s="1181"/>
      <c r="F197" s="1181"/>
      <c r="G197" s="1181"/>
      <c r="H197" s="1181"/>
      <c r="I197" s="1181"/>
      <c r="J197" s="1181"/>
      <c r="K197" s="1181"/>
      <c r="L197" s="1181"/>
      <c r="M197" s="1181"/>
      <c r="N197" s="1181"/>
      <c r="O197" s="1181"/>
      <c r="P197" s="1183"/>
      <c r="Q197" s="1181"/>
      <c r="R197" s="1181"/>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81"/>
      <c r="C198" s="1181"/>
      <c r="D198" s="1181"/>
      <c r="E198" s="1181"/>
      <c r="F198" s="1181"/>
      <c r="G198" s="1181"/>
      <c r="H198" s="1181"/>
      <c r="I198" s="1181"/>
      <c r="J198" s="1181"/>
      <c r="K198" s="1181"/>
      <c r="L198" s="1181"/>
      <c r="M198" s="1181"/>
      <c r="N198" s="1181"/>
      <c r="O198" s="1181"/>
      <c r="P198" s="1183"/>
      <c r="Q198" s="1181"/>
      <c r="R198" s="1181"/>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81"/>
      <c r="C199" s="1181"/>
      <c r="D199" s="1181"/>
      <c r="E199" s="1181"/>
      <c r="F199" s="1181"/>
      <c r="G199" s="1181"/>
      <c r="H199" s="1181"/>
      <c r="I199" s="1181"/>
      <c r="J199" s="1181"/>
      <c r="K199" s="1181"/>
      <c r="L199" s="1181"/>
      <c r="M199" s="1181"/>
      <c r="N199" s="1181"/>
      <c r="O199" s="1181"/>
      <c r="P199" s="1183"/>
      <c r="Q199" s="1181"/>
      <c r="R199" s="1181"/>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81"/>
      <c r="C200" s="1181"/>
      <c r="D200" s="1181"/>
      <c r="E200" s="1181"/>
      <c r="F200" s="1181"/>
      <c r="G200" s="1181"/>
      <c r="H200" s="1181"/>
      <c r="I200" s="1181"/>
      <c r="J200" s="1181"/>
      <c r="K200" s="1181"/>
      <c r="L200" s="1181"/>
      <c r="M200" s="1181"/>
      <c r="N200" s="1181"/>
      <c r="O200" s="1181"/>
      <c r="P200" s="1183"/>
      <c r="Q200" s="1181"/>
      <c r="R200" s="1181"/>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81"/>
      <c r="C201" s="1181"/>
      <c r="D201" s="1181"/>
      <c r="E201" s="1181"/>
      <c r="F201" s="1181"/>
      <c r="G201" s="1181"/>
      <c r="H201" s="1181"/>
      <c r="I201" s="1181"/>
      <c r="J201" s="1181"/>
      <c r="K201" s="1181"/>
      <c r="L201" s="1181"/>
      <c r="M201" s="1181"/>
      <c r="N201" s="1181"/>
      <c r="O201" s="1181"/>
      <c r="P201" s="1183"/>
      <c r="Q201" s="1181"/>
      <c r="R201" s="1181"/>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81"/>
      <c r="C202" s="1181"/>
      <c r="D202" s="1181"/>
      <c r="E202" s="1181"/>
      <c r="F202" s="1181"/>
      <c r="G202" s="1181"/>
      <c r="H202" s="1181"/>
      <c r="I202" s="1181"/>
      <c r="J202" s="1181"/>
      <c r="K202" s="1181"/>
      <c r="L202" s="1181"/>
      <c r="M202" s="1181"/>
      <c r="N202" s="1181"/>
      <c r="O202" s="1181"/>
      <c r="P202" s="1183"/>
      <c r="Q202" s="1181"/>
      <c r="R202" s="1181"/>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81"/>
      <c r="C203" s="1181"/>
      <c r="D203" s="1181"/>
      <c r="E203" s="1181"/>
      <c r="F203" s="1181"/>
      <c r="G203" s="1181"/>
      <c r="H203" s="1181"/>
      <c r="I203" s="1181"/>
      <c r="J203" s="1181"/>
      <c r="K203" s="1181"/>
      <c r="L203" s="1181"/>
      <c r="M203" s="1181"/>
      <c r="N203" s="1181"/>
      <c r="O203" s="1181"/>
      <c r="P203" s="1183"/>
      <c r="Q203" s="2424"/>
      <c r="R203" s="1181"/>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81"/>
      <c r="C204" s="1181"/>
      <c r="D204" s="1181"/>
      <c r="E204" s="1181"/>
      <c r="F204" s="1181"/>
      <c r="G204" s="1181"/>
      <c r="H204" s="1181"/>
      <c r="I204" s="1181"/>
      <c r="J204" s="1181"/>
      <c r="K204" s="1181"/>
      <c r="L204" s="1181"/>
      <c r="M204" s="1181"/>
      <c r="N204" s="1181"/>
      <c r="O204" s="1181"/>
      <c r="P204" s="1183"/>
      <c r="Q204" s="2424"/>
      <c r="R204" s="1181"/>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81"/>
      <c r="C205" s="1181"/>
      <c r="D205" s="1181"/>
      <c r="E205" s="1181"/>
      <c r="F205" s="1181"/>
      <c r="G205" s="1181"/>
      <c r="H205" s="1181"/>
      <c r="I205" s="1181"/>
      <c r="J205" s="1181"/>
      <c r="K205" s="1181"/>
      <c r="L205" s="1181"/>
      <c r="M205" s="1181"/>
      <c r="N205" s="1181"/>
      <c r="O205" s="1181"/>
      <c r="P205" s="1183"/>
      <c r="Q205" s="2424"/>
      <c r="R205" s="1181"/>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81"/>
      <c r="C206" s="1181"/>
      <c r="D206" s="1181"/>
      <c r="E206" s="1181"/>
      <c r="F206" s="1181"/>
      <c r="G206" s="1181"/>
      <c r="H206" s="1181"/>
      <c r="I206" s="1181"/>
      <c r="J206" s="1181"/>
      <c r="K206" s="1181"/>
      <c r="L206" s="1181"/>
      <c r="M206" s="1181"/>
      <c r="N206" s="1181"/>
      <c r="O206" s="1181"/>
      <c r="P206" s="1183"/>
      <c r="Q206" s="2424"/>
      <c r="R206" s="1181"/>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81"/>
      <c r="C207" s="1181"/>
      <c r="D207" s="1181"/>
      <c r="E207" s="1181"/>
      <c r="F207" s="1181"/>
      <c r="G207" s="1181"/>
      <c r="H207" s="1181"/>
      <c r="I207" s="1181"/>
      <c r="J207" s="1145" t="s">
        <v>2903</v>
      </c>
      <c r="K207" s="1181"/>
      <c r="L207" s="1181"/>
      <c r="M207" s="1181"/>
      <c r="N207" s="1181"/>
      <c r="O207" s="1181"/>
      <c r="P207" s="1183"/>
      <c r="Q207" s="2424"/>
      <c r="R207" s="1181"/>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81"/>
      <c r="C208" s="1181"/>
      <c r="D208" s="1181"/>
      <c r="E208" s="1181"/>
      <c r="F208" s="1181"/>
      <c r="G208" s="1181"/>
      <c r="H208" s="1181"/>
      <c r="I208" s="1181"/>
      <c r="J208" s="1145" t="s">
        <v>2904</v>
      </c>
      <c r="K208" s="1181"/>
      <c r="L208" s="1181"/>
      <c r="M208" s="1181"/>
      <c r="N208" s="1181"/>
      <c r="O208" s="1181"/>
      <c r="P208" s="1183"/>
      <c r="Q208" s="2424"/>
      <c r="R208" s="1181"/>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81"/>
      <c r="C209" s="1181"/>
      <c r="D209" s="1181"/>
      <c r="E209" s="1181"/>
      <c r="F209" s="1181"/>
      <c r="G209" s="1181"/>
      <c r="H209" s="1181"/>
      <c r="I209" s="1181"/>
      <c r="J209" s="1145" t="s">
        <v>2905</v>
      </c>
      <c r="K209" s="1181"/>
      <c r="L209" s="1181"/>
      <c r="M209" s="1181"/>
      <c r="N209" s="1181"/>
      <c r="O209" s="1181"/>
      <c r="P209" s="1183"/>
      <c r="Q209" s="2424"/>
      <c r="R209" s="1181"/>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81"/>
      <c r="C210" s="1181"/>
      <c r="D210" s="1181"/>
      <c r="E210" s="1181"/>
      <c r="F210" s="1181"/>
      <c r="G210" s="1181"/>
      <c r="H210" s="1181"/>
      <c r="I210" s="1181"/>
      <c r="J210" s="1145" t="s">
        <v>2906</v>
      </c>
      <c r="K210" s="1181"/>
      <c r="L210" s="1181"/>
      <c r="M210" s="1181"/>
      <c r="N210" s="1181"/>
      <c r="O210" s="1181"/>
      <c r="P210" s="1183"/>
      <c r="Q210" s="2424"/>
      <c r="R210" s="1181"/>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81"/>
      <c r="C211" s="1181"/>
      <c r="D211" s="1181"/>
      <c r="E211" s="1181"/>
      <c r="F211" s="1181"/>
      <c r="G211" s="1181"/>
      <c r="H211" s="1181"/>
      <c r="I211" s="1181"/>
      <c r="J211" s="1145" t="s">
        <v>2907</v>
      </c>
      <c r="K211" s="1181"/>
      <c r="L211" s="1181"/>
      <c r="M211" s="1181"/>
      <c r="N211" s="1181"/>
      <c r="O211" s="1181"/>
      <c r="P211" s="1183"/>
      <c r="Q211" s="2424"/>
      <c r="R211" s="1181"/>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81"/>
      <c r="C212" s="1181"/>
      <c r="D212" s="1181"/>
      <c r="E212" s="1181"/>
      <c r="F212" s="1181"/>
      <c r="G212" s="1181"/>
      <c r="H212" s="1181"/>
      <c r="I212" s="1181"/>
      <c r="J212" s="1145" t="s">
        <v>2908</v>
      </c>
      <c r="K212" s="1181"/>
      <c r="L212" s="1181"/>
      <c r="M212" s="1181"/>
      <c r="N212" s="1181"/>
      <c r="O212" s="1181"/>
      <c r="P212" s="1183"/>
      <c r="Q212" s="2424"/>
      <c r="R212" s="1181"/>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81"/>
      <c r="C213" s="1181"/>
      <c r="D213" s="1181"/>
      <c r="E213" s="1181"/>
      <c r="F213" s="1181"/>
      <c r="G213" s="1181"/>
      <c r="H213" s="1181"/>
      <c r="I213" s="1181"/>
      <c r="J213" s="1145" t="s">
        <v>2909</v>
      </c>
      <c r="K213" s="1181"/>
      <c r="L213" s="1181"/>
      <c r="M213" s="1181"/>
      <c r="N213" s="1181"/>
      <c r="O213" s="1181"/>
      <c r="P213" s="1183"/>
      <c r="Q213" s="2424"/>
      <c r="R213" s="1181"/>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81"/>
      <c r="C214" s="1181"/>
      <c r="D214" s="1181"/>
      <c r="E214" s="1181"/>
      <c r="F214" s="1181"/>
      <c r="G214" s="1181"/>
      <c r="H214" s="1181"/>
      <c r="I214" s="1181"/>
      <c r="J214" s="1145" t="s">
        <v>2910</v>
      </c>
      <c r="K214" s="1181"/>
      <c r="L214" s="1181"/>
      <c r="M214" s="1181"/>
      <c r="N214" s="1181"/>
      <c r="O214" s="1181"/>
      <c r="P214" s="1183"/>
      <c r="Q214" s="2424"/>
      <c r="R214" s="1181"/>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81"/>
      <c r="C215" s="1181"/>
      <c r="D215" s="1181"/>
      <c r="E215" s="1181"/>
      <c r="F215" s="1181"/>
      <c r="G215" s="1181"/>
      <c r="H215" s="1181"/>
      <c r="I215" s="1181"/>
      <c r="J215" s="1145" t="s">
        <v>2911</v>
      </c>
      <c r="K215" s="1181"/>
      <c r="L215" s="1181"/>
      <c r="M215" s="1181"/>
      <c r="N215" s="1181"/>
      <c r="O215" s="1181"/>
      <c r="P215" s="1183"/>
      <c r="Q215" s="2424"/>
      <c r="R215" s="1181"/>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81"/>
      <c r="C216" s="1181"/>
      <c r="D216" s="1181"/>
      <c r="E216" s="1181"/>
      <c r="F216" s="1181"/>
      <c r="G216" s="1181"/>
      <c r="H216" s="1181"/>
      <c r="I216" s="1181"/>
      <c r="J216" s="1145" t="s">
        <v>3900</v>
      </c>
      <c r="K216" s="1181"/>
      <c r="L216" s="1181"/>
      <c r="M216" s="1181"/>
      <c r="N216" s="1181"/>
      <c r="O216" s="1181"/>
      <c r="P216" s="1183"/>
      <c r="Q216" s="2424"/>
      <c r="R216" s="1181"/>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81"/>
      <c r="C217" s="1181"/>
      <c r="D217" s="1181"/>
      <c r="E217" s="1181"/>
      <c r="F217" s="1181"/>
      <c r="G217" s="1181"/>
      <c r="H217" s="1181"/>
      <c r="I217" s="1181"/>
      <c r="K217" s="1181"/>
      <c r="L217" s="1181"/>
      <c r="M217" s="1181"/>
      <c r="N217" s="1181"/>
      <c r="O217" s="1181"/>
      <c r="P217" s="1183"/>
      <c r="Q217" s="2424"/>
      <c r="R217" s="1181"/>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81"/>
      <c r="C218" s="1181"/>
      <c r="D218" s="1181"/>
      <c r="E218" s="1181"/>
      <c r="F218" s="1181"/>
      <c r="G218" s="1181"/>
      <c r="H218" s="1181"/>
      <c r="I218" s="1181"/>
      <c r="J218" s="1181"/>
      <c r="K218" s="1181"/>
      <c r="L218" s="1181"/>
      <c r="M218" s="1181"/>
      <c r="N218" s="1181"/>
      <c r="O218" s="1181"/>
      <c r="P218" s="1183"/>
      <c r="Q218" s="2424"/>
      <c r="R218" s="1181"/>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81"/>
      <c r="C219" s="1181"/>
      <c r="D219" s="1181"/>
      <c r="E219" s="1181"/>
      <c r="F219" s="1181"/>
      <c r="G219" s="1181"/>
      <c r="H219" s="1181"/>
      <c r="I219" s="1181"/>
      <c r="J219" s="1181"/>
      <c r="K219" s="1181"/>
      <c r="L219" s="1181"/>
      <c r="M219" s="1181"/>
      <c r="N219" s="1181"/>
      <c r="O219" s="1181"/>
      <c r="P219" s="1183"/>
      <c r="Q219" s="2424"/>
      <c r="R219" s="1181"/>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81"/>
      <c r="C220" s="1181"/>
      <c r="D220" s="1181"/>
      <c r="E220" s="1181"/>
      <c r="F220" s="1181"/>
      <c r="G220" s="1181"/>
      <c r="H220" s="1181"/>
      <c r="I220" s="1181"/>
      <c r="J220" s="1181"/>
      <c r="K220" s="1181"/>
      <c r="L220" s="1181"/>
      <c r="M220" s="1181"/>
      <c r="N220" s="1181"/>
      <c r="O220" s="1181"/>
      <c r="P220" s="1183"/>
      <c r="Q220" s="2424"/>
      <c r="R220" s="1181"/>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81"/>
      <c r="C221" s="1181"/>
      <c r="D221" s="1181"/>
      <c r="E221" s="1181"/>
      <c r="F221" s="1181"/>
      <c r="G221" s="1181"/>
      <c r="H221" s="1181"/>
      <c r="I221" s="1181"/>
      <c r="J221" s="1181"/>
      <c r="K221" s="1181"/>
      <c r="L221" s="1181"/>
      <c r="M221" s="1181"/>
      <c r="N221" s="1181"/>
      <c r="O221" s="1181"/>
      <c r="P221" s="1183"/>
      <c r="Q221" s="2424"/>
      <c r="R221" s="1181"/>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81"/>
      <c r="C222" s="1181"/>
      <c r="D222" s="1181"/>
      <c r="E222" s="1181"/>
      <c r="F222" s="1181"/>
      <c r="G222" s="1181"/>
      <c r="H222" s="1181"/>
      <c r="I222" s="1181"/>
      <c r="J222" s="1181"/>
      <c r="K222" s="1181"/>
      <c r="L222" s="1181"/>
      <c r="M222" s="1181"/>
      <c r="N222" s="1181"/>
      <c r="O222" s="1181"/>
      <c r="P222" s="2425"/>
      <c r="Q222" s="1181"/>
      <c r="R222" s="1181"/>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81"/>
      <c r="C223" s="1181"/>
      <c r="D223" s="1181"/>
      <c r="E223" s="1181"/>
      <c r="F223" s="1181"/>
      <c r="G223" s="1181"/>
      <c r="H223" s="1181"/>
      <c r="I223" s="1181"/>
      <c r="J223" s="1181"/>
      <c r="K223" s="1181"/>
      <c r="L223" s="1181"/>
      <c r="M223" s="1181"/>
      <c r="N223" s="1181"/>
      <c r="O223" s="1181"/>
      <c r="P223" s="1183"/>
      <c r="Q223" s="2424"/>
      <c r="R223" s="1181"/>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81"/>
      <c r="C224" s="1181"/>
      <c r="D224" s="1181"/>
      <c r="E224" s="1181"/>
      <c r="F224" s="1181"/>
      <c r="G224" s="1181"/>
      <c r="H224" s="1181"/>
      <c r="I224" s="1181"/>
      <c r="J224" s="1181"/>
      <c r="K224" s="1181"/>
      <c r="L224" s="1181"/>
      <c r="M224" s="1181"/>
      <c r="N224" s="1181"/>
      <c r="O224" s="1181"/>
      <c r="P224" s="1183"/>
      <c r="Q224" s="2424"/>
      <c r="R224" s="1181"/>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81"/>
      <c r="C225" s="1181"/>
      <c r="D225" s="1181"/>
      <c r="E225" s="1181"/>
      <c r="F225" s="1181"/>
      <c r="G225" s="1181"/>
      <c r="H225" s="1181"/>
      <c r="I225" s="1181"/>
      <c r="J225" s="1181"/>
      <c r="K225" s="1181"/>
      <c r="L225" s="1181"/>
      <c r="M225" s="1181"/>
      <c r="N225" s="1181"/>
      <c r="O225" s="1181"/>
      <c r="P225" s="1183"/>
      <c r="Q225" s="2424"/>
      <c r="R225" s="1181"/>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81"/>
      <c r="C226" s="1181"/>
      <c r="D226" s="1181"/>
      <c r="E226" s="1181"/>
      <c r="F226" s="1181"/>
      <c r="G226" s="1181"/>
      <c r="H226" s="1181"/>
      <c r="I226" s="1181"/>
      <c r="J226" s="1181"/>
      <c r="K226" s="1181"/>
      <c r="L226" s="1181"/>
      <c r="M226" s="1181"/>
      <c r="N226" s="1181"/>
      <c r="O226" s="1181"/>
      <c r="P226" s="2425"/>
      <c r="Q226" s="1181"/>
      <c r="R226" s="1181"/>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81"/>
      <c r="C227" s="1181"/>
      <c r="D227" s="1181"/>
      <c r="E227" s="1181"/>
      <c r="F227" s="1181"/>
      <c r="G227" s="1181"/>
      <c r="H227" s="1181"/>
      <c r="I227" s="1181"/>
      <c r="J227" s="1181"/>
      <c r="K227" s="1181"/>
      <c r="L227" s="1181"/>
      <c r="M227" s="1181"/>
      <c r="N227" s="1181"/>
      <c r="O227" s="1181"/>
      <c r="P227" s="1183"/>
      <c r="Q227" s="2424"/>
      <c r="R227" s="1181"/>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81"/>
      <c r="C228" s="1181"/>
      <c r="D228" s="1181"/>
      <c r="E228" s="1181"/>
      <c r="F228" s="1181"/>
      <c r="G228" s="1181"/>
      <c r="H228" s="1181"/>
      <c r="I228" s="1181"/>
      <c r="J228" s="1181"/>
      <c r="K228" s="1181"/>
      <c r="L228" s="1181"/>
      <c r="M228" s="1181"/>
      <c r="N228" s="1181"/>
      <c r="O228" s="1181"/>
      <c r="P228" s="1183"/>
      <c r="Q228" s="2424"/>
      <c r="R228" s="1181"/>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81"/>
      <c r="C229" s="1181"/>
      <c r="D229" s="1181"/>
      <c r="E229" s="1181"/>
      <c r="F229" s="1181"/>
      <c r="G229" s="1181"/>
      <c r="H229" s="1181"/>
      <c r="I229" s="1181"/>
      <c r="J229" s="1181"/>
      <c r="K229" s="1181"/>
      <c r="L229" s="1181"/>
      <c r="M229" s="1181"/>
      <c r="N229" s="1181"/>
      <c r="O229" s="1181"/>
      <c r="P229" s="1183"/>
      <c r="Q229" s="2424"/>
      <c r="R229" s="1181"/>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81"/>
      <c r="C230" s="1181"/>
      <c r="D230" s="1181"/>
      <c r="E230" s="1181"/>
      <c r="F230" s="1181"/>
      <c r="G230" s="1181"/>
      <c r="H230" s="1181"/>
      <c r="I230" s="1181"/>
      <c r="J230" s="1181"/>
      <c r="K230" s="1181"/>
      <c r="L230" s="1181"/>
      <c r="M230" s="1181"/>
      <c r="N230" s="1181"/>
      <c r="O230" s="1181"/>
      <c r="P230" s="1183"/>
      <c r="Q230" s="2424"/>
      <c r="R230" s="1181"/>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81"/>
      <c r="C231" s="1181"/>
      <c r="D231" s="1181"/>
      <c r="E231" s="1181"/>
      <c r="F231" s="1181"/>
      <c r="G231" s="1181"/>
      <c r="H231" s="1181"/>
      <c r="I231" s="1181"/>
      <c r="J231" s="1181"/>
      <c r="K231" s="1181"/>
      <c r="L231" s="1181"/>
      <c r="M231" s="1181"/>
      <c r="N231" s="1181"/>
      <c r="O231" s="1181"/>
      <c r="P231" s="1183"/>
      <c r="Q231" s="2424"/>
      <c r="R231" s="1181"/>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81"/>
      <c r="C232" s="1181"/>
      <c r="D232" s="1181"/>
      <c r="E232" s="1181"/>
      <c r="F232" s="1181"/>
      <c r="G232" s="1181"/>
      <c r="H232" s="1181"/>
      <c r="I232" s="1181"/>
      <c r="J232" s="1181"/>
      <c r="K232" s="1181"/>
      <c r="L232" s="1181"/>
      <c r="M232" s="1181"/>
      <c r="N232" s="1181"/>
      <c r="O232" s="1181"/>
      <c r="P232" s="1183"/>
      <c r="Q232" s="2424"/>
      <c r="R232" s="1181"/>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81"/>
      <c r="C233" s="1181"/>
      <c r="D233" s="1181"/>
      <c r="E233" s="1181"/>
      <c r="F233" s="1181"/>
      <c r="G233" s="1181"/>
      <c r="H233" s="1181"/>
      <c r="I233" s="1181"/>
      <c r="J233" s="1181"/>
      <c r="K233" s="1181"/>
      <c r="L233" s="1181"/>
      <c r="M233" s="1181"/>
      <c r="N233" s="1181"/>
      <c r="O233" s="1181"/>
      <c r="P233" s="1183"/>
      <c r="Q233" s="2424"/>
      <c r="R233" s="1181"/>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81"/>
      <c r="C234" s="1181"/>
      <c r="D234" s="1181"/>
      <c r="E234" s="1181"/>
      <c r="F234" s="1181"/>
      <c r="G234" s="1181"/>
      <c r="H234" s="1181"/>
      <c r="I234" s="1181"/>
      <c r="J234" s="1181"/>
      <c r="K234" s="1181"/>
      <c r="L234" s="1181"/>
      <c r="M234" s="1181"/>
      <c r="N234" s="1181"/>
      <c r="O234" s="1181"/>
      <c r="P234" s="1183"/>
      <c r="Q234" s="2424"/>
      <c r="R234" s="1181"/>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81"/>
      <c r="C235" s="1181"/>
      <c r="D235" s="1181"/>
      <c r="E235" s="1181"/>
      <c r="F235" s="1181"/>
      <c r="G235" s="1181"/>
      <c r="H235" s="1181"/>
      <c r="I235" s="1181"/>
      <c r="J235" s="1181"/>
      <c r="K235" s="1181"/>
      <c r="L235" s="1181"/>
      <c r="M235" s="1181"/>
      <c r="N235" s="1181"/>
      <c r="O235" s="1181"/>
      <c r="P235" s="1183"/>
      <c r="Q235" s="2424"/>
      <c r="R235" s="1181"/>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81"/>
      <c r="C236" s="1181"/>
      <c r="D236" s="1181"/>
      <c r="E236" s="1181"/>
      <c r="F236" s="1181"/>
      <c r="G236" s="1181"/>
      <c r="H236" s="1181"/>
      <c r="I236" s="1181"/>
      <c r="J236" s="1181"/>
      <c r="K236" s="1181"/>
      <c r="L236" s="1181"/>
      <c r="M236" s="1181"/>
      <c r="N236" s="1181"/>
      <c r="O236" s="1181"/>
      <c r="P236" s="1183"/>
      <c r="Q236" s="2424"/>
      <c r="R236" s="1181"/>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81"/>
      <c r="C237" s="1181"/>
      <c r="D237" s="1181"/>
      <c r="E237" s="1181"/>
      <c r="F237" s="1181"/>
      <c r="G237" s="1181"/>
      <c r="H237" s="1181"/>
      <c r="I237" s="1181"/>
      <c r="J237" s="1181"/>
      <c r="K237" s="1181"/>
      <c r="L237" s="1181"/>
      <c r="M237" s="1181"/>
      <c r="N237" s="1181"/>
      <c r="O237" s="1181"/>
      <c r="P237" s="1183"/>
      <c r="Q237" s="2424"/>
      <c r="R237" s="1181"/>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81"/>
      <c r="C238" s="1181"/>
      <c r="D238" s="1181"/>
      <c r="E238" s="1181"/>
      <c r="F238" s="1181"/>
      <c r="G238" s="1181"/>
      <c r="H238" s="1181"/>
      <c r="I238" s="1181"/>
      <c r="J238" s="1181"/>
      <c r="K238" s="1181"/>
      <c r="L238" s="1181"/>
      <c r="M238" s="1181"/>
      <c r="N238" s="1181"/>
      <c r="O238" s="1181"/>
      <c r="P238" s="1183"/>
      <c r="Q238" s="2424"/>
      <c r="R238" s="1181"/>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81"/>
      <c r="C239" s="1181"/>
      <c r="D239" s="1181"/>
      <c r="E239" s="1181"/>
      <c r="F239" s="1181"/>
      <c r="G239" s="1181"/>
      <c r="H239" s="1181"/>
      <c r="I239" s="1181"/>
      <c r="J239" s="1181"/>
      <c r="K239" s="1181"/>
      <c r="L239" s="1181"/>
      <c r="M239" s="1181"/>
      <c r="N239" s="1181"/>
      <c r="O239" s="1181"/>
      <c r="P239" s="1183"/>
      <c r="Q239" s="2424"/>
      <c r="R239" s="1181"/>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81"/>
      <c r="C240" s="1181"/>
      <c r="D240" s="1181"/>
      <c r="E240" s="1181"/>
      <c r="F240" s="1181"/>
      <c r="G240" s="1181"/>
      <c r="H240" s="1181"/>
      <c r="I240" s="1181"/>
      <c r="J240" s="1181"/>
      <c r="K240" s="1181"/>
      <c r="L240" s="1181"/>
      <c r="M240" s="1181"/>
      <c r="N240" s="1181"/>
      <c r="O240" s="1181"/>
      <c r="P240" s="2426"/>
      <c r="Q240" s="2424"/>
      <c r="R240" s="1183"/>
      <c r="S240" s="2427"/>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81"/>
      <c r="C241" s="1181"/>
      <c r="D241" s="1181"/>
      <c r="E241" s="1181"/>
      <c r="F241" s="1181"/>
      <c r="G241" s="1181"/>
      <c r="H241" s="1181"/>
      <c r="I241" s="1181"/>
      <c r="J241" s="1181"/>
      <c r="K241" s="1181"/>
      <c r="L241" s="1181"/>
      <c r="M241" s="1181"/>
      <c r="N241" s="1181"/>
      <c r="O241" s="1181"/>
      <c r="P241" s="1183"/>
      <c r="Q241" s="2424"/>
      <c r="R241" s="1183"/>
      <c r="S241" s="2427"/>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81"/>
      <c r="C242" s="1181"/>
      <c r="D242" s="1181"/>
      <c r="E242" s="1181"/>
      <c r="F242" s="1181"/>
      <c r="G242" s="1181"/>
      <c r="H242" s="1181"/>
      <c r="I242" s="1181"/>
      <c r="J242" s="1181"/>
      <c r="K242" s="1181"/>
      <c r="L242" s="1181"/>
      <c r="M242" s="1181"/>
      <c r="N242" s="1181"/>
      <c r="O242" s="1181"/>
      <c r="P242" s="1183"/>
      <c r="Q242" s="2424"/>
      <c r="R242" s="1183"/>
      <c r="S242" s="2427"/>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81"/>
      <c r="C243" s="1181"/>
      <c r="D243" s="1181"/>
      <c r="E243" s="1181"/>
      <c r="F243" s="1181"/>
      <c r="G243" s="1181"/>
      <c r="H243" s="1181"/>
      <c r="I243" s="1181"/>
      <c r="J243" s="1181"/>
      <c r="K243" s="1181"/>
      <c r="L243" s="1181"/>
      <c r="M243" s="1181"/>
      <c r="N243" s="1181"/>
      <c r="O243" s="1181"/>
      <c r="P243" s="1183"/>
      <c r="Q243" s="2424"/>
      <c r="R243" s="1183"/>
      <c r="S243" s="2427"/>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81"/>
      <c r="C244" s="1181"/>
      <c r="D244" s="1181"/>
      <c r="E244" s="1181"/>
      <c r="F244" s="1181"/>
      <c r="G244" s="1181"/>
      <c r="H244" s="1181"/>
      <c r="I244" s="1181"/>
      <c r="J244" s="1181"/>
      <c r="K244" s="1181"/>
      <c r="L244" s="1181"/>
      <c r="M244" s="1181"/>
      <c r="N244" s="1181"/>
      <c r="O244" s="1181"/>
      <c r="P244" s="1183"/>
      <c r="Q244" s="1181"/>
      <c r="R244" s="1181"/>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81"/>
      <c r="C245" s="1181"/>
      <c r="D245" s="1181"/>
      <c r="E245" s="1181"/>
      <c r="F245" s="1181"/>
      <c r="G245" s="1181"/>
      <c r="H245" s="1181"/>
      <c r="I245" s="1181"/>
      <c r="J245" s="1181"/>
      <c r="K245" s="1181"/>
      <c r="L245" s="1181"/>
      <c r="M245" s="1181"/>
      <c r="N245" s="1181"/>
      <c r="O245" s="1181"/>
      <c r="P245" s="2425"/>
      <c r="Q245" s="1181"/>
      <c r="R245" s="1181"/>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81"/>
      <c r="C246" s="1181"/>
      <c r="D246" s="1181"/>
      <c r="E246" s="1181"/>
      <c r="F246" s="1181"/>
      <c r="G246" s="1181"/>
      <c r="H246" s="1181"/>
      <c r="I246" s="1181"/>
      <c r="J246" s="1181"/>
      <c r="K246" s="1181"/>
      <c r="L246" s="1181"/>
      <c r="M246" s="1181"/>
      <c r="N246" s="1181"/>
      <c r="O246" s="1181"/>
      <c r="P246" s="1183"/>
      <c r="Q246" s="2424"/>
      <c r="R246" s="1181"/>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81"/>
      <c r="C247" s="1181"/>
      <c r="D247" s="1181"/>
      <c r="E247" s="1181"/>
      <c r="F247" s="1181"/>
      <c r="G247" s="1181"/>
      <c r="H247" s="1181"/>
      <c r="I247" s="1181"/>
      <c r="J247" s="1181"/>
      <c r="K247" s="1181"/>
      <c r="L247" s="1181"/>
      <c r="M247" s="1181"/>
      <c r="N247" s="1181"/>
      <c r="O247" s="1181"/>
      <c r="P247" s="1183"/>
      <c r="Q247" s="2424"/>
      <c r="R247" s="1181"/>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81"/>
      <c r="C248" s="1181"/>
      <c r="D248" s="1181"/>
      <c r="E248" s="1181"/>
      <c r="F248" s="1181"/>
      <c r="G248" s="1181"/>
      <c r="H248" s="1181"/>
      <c r="I248" s="1181"/>
      <c r="J248" s="1181"/>
      <c r="K248" s="1181"/>
      <c r="L248" s="1181"/>
      <c r="M248" s="1181"/>
      <c r="N248" s="1181"/>
      <c r="O248" s="1181"/>
      <c r="P248" s="2426"/>
      <c r="Q248" s="2424"/>
      <c r="R248" s="1181"/>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81"/>
      <c r="C249" s="1181"/>
      <c r="D249" s="1181"/>
      <c r="E249" s="1181"/>
      <c r="F249" s="1181"/>
      <c r="G249" s="1181"/>
      <c r="H249" s="1181"/>
      <c r="I249" s="1181"/>
      <c r="J249" s="1181"/>
      <c r="K249" s="1181"/>
      <c r="L249" s="1181"/>
      <c r="M249" s="1181"/>
      <c r="N249" s="1181"/>
      <c r="O249" s="1181"/>
      <c r="P249" s="1183"/>
      <c r="Q249" s="2424"/>
      <c r="R249" s="1181"/>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81"/>
      <c r="C250" s="1181"/>
      <c r="D250" s="1181"/>
      <c r="E250" s="1181"/>
      <c r="F250" s="1181"/>
      <c r="G250" s="1181"/>
      <c r="H250" s="1181"/>
      <c r="I250" s="1181"/>
      <c r="J250" s="1181"/>
      <c r="K250" s="1181"/>
      <c r="L250" s="1181"/>
      <c r="M250" s="1181"/>
      <c r="N250" s="1181"/>
      <c r="O250" s="1181"/>
      <c r="P250" s="1183"/>
      <c r="Q250" s="2424"/>
      <c r="R250" s="1181"/>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81"/>
      <c r="C251" s="1181"/>
      <c r="D251" s="1181"/>
      <c r="E251" s="1181"/>
      <c r="F251" s="1181"/>
      <c r="G251" s="1181"/>
      <c r="H251" s="1181"/>
      <c r="I251" s="1181"/>
      <c r="J251" s="1181"/>
      <c r="K251" s="1181"/>
      <c r="L251" s="1181"/>
      <c r="M251" s="1181"/>
      <c r="N251" s="1181"/>
      <c r="O251" s="1181"/>
      <c r="P251" s="1183"/>
      <c r="Q251" s="2424"/>
      <c r="R251" s="1181"/>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81"/>
      <c r="C252" s="1181"/>
      <c r="D252" s="1181"/>
      <c r="E252" s="1181"/>
      <c r="F252" s="1181"/>
      <c r="G252" s="1181"/>
      <c r="H252" s="1181"/>
      <c r="I252" s="1181"/>
      <c r="J252" s="1181"/>
      <c r="K252" s="1181"/>
      <c r="L252" s="1181"/>
      <c r="M252" s="1181"/>
      <c r="N252" s="1181"/>
      <c r="O252" s="1181"/>
      <c r="P252" s="1183"/>
      <c r="Q252" s="2424"/>
      <c r="R252" s="1181"/>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81"/>
      <c r="C253" s="1181"/>
      <c r="D253" s="1181"/>
      <c r="E253" s="1181"/>
      <c r="F253" s="1181"/>
      <c r="G253" s="1181"/>
      <c r="H253" s="1181"/>
      <c r="I253" s="1181"/>
      <c r="J253" s="1181"/>
      <c r="K253" s="1181"/>
      <c r="L253" s="1181"/>
      <c r="M253" s="1181"/>
      <c r="N253" s="1181"/>
      <c r="O253" s="1181"/>
      <c r="P253" s="1183"/>
      <c r="Q253" s="2424"/>
      <c r="R253" s="1181"/>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81"/>
      <c r="C254" s="1181"/>
      <c r="D254" s="1181"/>
      <c r="E254" s="1181"/>
      <c r="F254" s="1181"/>
      <c r="G254" s="1181"/>
      <c r="H254" s="1181"/>
      <c r="I254" s="1181"/>
      <c r="J254" s="1181"/>
      <c r="K254" s="1181"/>
      <c r="L254" s="1181"/>
      <c r="M254" s="1181"/>
      <c r="N254" s="1181"/>
      <c r="O254" s="1181"/>
      <c r="P254" s="1183"/>
      <c r="Q254" s="2424"/>
      <c r="R254" s="1181"/>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81"/>
      <c r="C255" s="1181"/>
      <c r="D255" s="1181"/>
      <c r="E255" s="1181"/>
      <c r="F255" s="1181"/>
      <c r="G255" s="1181"/>
      <c r="H255" s="1181"/>
      <c r="I255" s="1181"/>
      <c r="J255" s="1181"/>
      <c r="K255" s="1181"/>
      <c r="L255" s="1181"/>
      <c r="M255" s="1181"/>
      <c r="N255" s="1181"/>
      <c r="O255" s="1181"/>
      <c r="P255" s="1183"/>
      <c r="Q255" s="2424"/>
      <c r="R255" s="1181"/>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81"/>
      <c r="C256" s="1181"/>
      <c r="D256" s="1181"/>
      <c r="E256" s="1181"/>
      <c r="F256" s="1181"/>
      <c r="G256" s="1181"/>
      <c r="H256" s="1181"/>
      <c r="I256" s="1181"/>
      <c r="J256" s="1181"/>
      <c r="K256" s="1181"/>
      <c r="L256" s="1181"/>
      <c r="M256" s="1181"/>
      <c r="N256" s="1181"/>
      <c r="O256" s="1181"/>
      <c r="P256" s="2426"/>
      <c r="Q256" s="2424"/>
      <c r="R256" s="1181"/>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81"/>
      <c r="C257" s="1181"/>
      <c r="D257" s="1181"/>
      <c r="E257" s="1181"/>
      <c r="F257" s="1181"/>
      <c r="G257" s="1181"/>
      <c r="H257" s="1181"/>
      <c r="I257" s="1181"/>
      <c r="J257" s="1181"/>
      <c r="K257" s="1181"/>
      <c r="L257" s="1181"/>
      <c r="M257" s="1181"/>
      <c r="N257" s="1181"/>
      <c r="O257" s="1181"/>
      <c r="P257" s="1183"/>
      <c r="Q257" s="2424"/>
      <c r="R257" s="1181"/>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81"/>
      <c r="C258" s="1181"/>
      <c r="D258" s="1181"/>
      <c r="E258" s="1181"/>
      <c r="F258" s="1181"/>
      <c r="G258" s="1181"/>
      <c r="H258" s="1181"/>
      <c r="I258" s="1181"/>
      <c r="J258" s="1181"/>
      <c r="K258" s="1181"/>
      <c r="L258" s="1181"/>
      <c r="M258" s="1181"/>
      <c r="N258" s="1181"/>
      <c r="O258" s="1181"/>
      <c r="P258" s="1183"/>
      <c r="Q258" s="2424"/>
      <c r="R258" s="1181"/>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81"/>
      <c r="C259" s="1181"/>
      <c r="D259" s="1181"/>
      <c r="E259" s="1181"/>
      <c r="F259" s="1181"/>
      <c r="G259" s="1181"/>
      <c r="H259" s="1181"/>
      <c r="I259" s="1181"/>
      <c r="J259" s="1181"/>
      <c r="K259" s="1181"/>
      <c r="L259" s="1181"/>
      <c r="M259" s="1181"/>
      <c r="N259" s="1181"/>
      <c r="O259" s="1181"/>
      <c r="P259" s="1183"/>
      <c r="Q259" s="2424"/>
      <c r="R259" s="1181"/>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81"/>
      <c r="C260" s="1181"/>
      <c r="D260" s="1181"/>
      <c r="E260" s="1181"/>
      <c r="F260" s="1181"/>
      <c r="G260" s="1181"/>
      <c r="H260" s="1181"/>
      <c r="I260" s="1181"/>
      <c r="J260" s="1181"/>
      <c r="K260" s="1181"/>
      <c r="L260" s="1181"/>
      <c r="M260" s="1181"/>
      <c r="N260" s="1181"/>
      <c r="O260" s="1181"/>
      <c r="P260" s="1183"/>
      <c r="Q260" s="2424"/>
      <c r="R260" s="1181"/>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81"/>
      <c r="C261" s="1181"/>
      <c r="D261" s="1181"/>
      <c r="E261" s="1181"/>
      <c r="F261" s="1181"/>
      <c r="G261" s="1181"/>
      <c r="H261" s="1181"/>
      <c r="I261" s="1181"/>
      <c r="J261" s="1181"/>
      <c r="K261" s="1181"/>
      <c r="L261" s="1181"/>
      <c r="M261" s="1181"/>
      <c r="N261" s="1181"/>
      <c r="O261" s="1181"/>
      <c r="P261" s="1183"/>
      <c r="Q261" s="2424"/>
      <c r="R261" s="1181"/>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81"/>
      <c r="C262" s="1181"/>
      <c r="D262" s="1181"/>
      <c r="E262" s="1181"/>
      <c r="F262" s="1181"/>
      <c r="G262" s="1181"/>
      <c r="H262" s="1181"/>
      <c r="I262" s="1181"/>
      <c r="J262" s="1181"/>
      <c r="K262" s="1181"/>
      <c r="L262" s="1181"/>
      <c r="M262" s="1181"/>
      <c r="N262" s="1181"/>
      <c r="O262" s="1181"/>
      <c r="P262" s="1183"/>
      <c r="Q262" s="2424"/>
      <c r="R262" s="1181"/>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81"/>
      <c r="C263" s="1181"/>
      <c r="D263" s="1181"/>
      <c r="E263" s="1181"/>
      <c r="F263" s="1181"/>
      <c r="G263" s="1181"/>
      <c r="H263" s="1181"/>
      <c r="I263" s="1181"/>
      <c r="J263" s="1181"/>
      <c r="K263" s="1181"/>
      <c r="L263" s="1181"/>
      <c r="M263" s="1181"/>
      <c r="N263" s="1181"/>
      <c r="O263" s="1181"/>
      <c r="P263" s="1183"/>
      <c r="Q263" s="2424"/>
      <c r="R263" s="1181"/>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81"/>
      <c r="C264" s="1181"/>
      <c r="D264" s="1181"/>
      <c r="E264" s="1181"/>
      <c r="F264" s="1181"/>
      <c r="G264" s="1181"/>
      <c r="H264" s="1181"/>
      <c r="I264" s="1181"/>
      <c r="J264" s="1181"/>
      <c r="K264" s="1181"/>
      <c r="L264" s="1181"/>
      <c r="M264" s="1181"/>
      <c r="N264" s="1181"/>
      <c r="O264" s="1181"/>
      <c r="P264" s="1183"/>
      <c r="Q264" s="2424"/>
      <c r="R264" s="1181"/>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81"/>
      <c r="C265" s="1181"/>
      <c r="D265" s="1181"/>
      <c r="E265" s="1181"/>
      <c r="F265" s="1181"/>
      <c r="G265" s="1181"/>
      <c r="H265" s="1181"/>
      <c r="I265" s="1181"/>
      <c r="J265" s="1181"/>
      <c r="K265" s="1181"/>
      <c r="L265" s="1181"/>
      <c r="M265" s="1181"/>
      <c r="N265" s="1181"/>
      <c r="O265" s="1181"/>
      <c r="P265" s="1183"/>
      <c r="Q265" s="2424"/>
      <c r="R265" s="1181"/>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81"/>
      <c r="C266" s="1181"/>
      <c r="D266" s="1181"/>
      <c r="E266" s="1181"/>
      <c r="F266" s="1181"/>
      <c r="G266" s="1181"/>
      <c r="H266" s="1181"/>
      <c r="I266" s="1181"/>
      <c r="J266" s="1181"/>
      <c r="K266" s="1181"/>
      <c r="L266" s="1181"/>
      <c r="M266" s="1181"/>
      <c r="N266" s="1181"/>
      <c r="O266" s="1181"/>
      <c r="P266" s="1183"/>
      <c r="Q266" s="2424"/>
      <c r="R266" s="1181"/>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81"/>
      <c r="C267" s="1181"/>
      <c r="D267" s="1181"/>
      <c r="E267" s="1181"/>
      <c r="F267" s="1181"/>
      <c r="G267" s="1181"/>
      <c r="H267" s="1181"/>
      <c r="I267" s="1181"/>
      <c r="J267" s="1181"/>
      <c r="K267" s="1181"/>
      <c r="L267" s="1181"/>
      <c r="M267" s="1181"/>
      <c r="N267" s="1181"/>
      <c r="O267" s="1181"/>
      <c r="P267" s="1183"/>
      <c r="Q267" s="2424"/>
      <c r="R267" s="1181"/>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81"/>
      <c r="C268" s="1181"/>
      <c r="D268" s="1181"/>
      <c r="E268" s="1181"/>
      <c r="F268" s="1181"/>
      <c r="G268" s="1181"/>
      <c r="H268" s="1181"/>
      <c r="I268" s="1181"/>
      <c r="J268" s="1181"/>
      <c r="K268" s="1181"/>
      <c r="L268" s="1181"/>
      <c r="M268" s="1181"/>
      <c r="N268" s="1181"/>
      <c r="O268" s="1181"/>
      <c r="P268" s="1183"/>
      <c r="Q268" s="2424"/>
      <c r="R268" s="1181"/>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81"/>
      <c r="C269" s="1181"/>
      <c r="D269" s="1181"/>
      <c r="E269" s="1181"/>
      <c r="F269" s="1181"/>
      <c r="G269" s="1181"/>
      <c r="H269" s="1181"/>
      <c r="I269" s="1181"/>
      <c r="J269" s="1181"/>
      <c r="K269" s="1181"/>
      <c r="L269" s="1181"/>
      <c r="M269" s="1181"/>
      <c r="N269" s="1181"/>
      <c r="O269" s="1181"/>
      <c r="P269" s="1183"/>
      <c r="Q269" s="2424"/>
      <c r="R269" s="1181"/>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81"/>
      <c r="C270" s="1181"/>
      <c r="D270" s="1181"/>
      <c r="E270" s="1181"/>
      <c r="F270" s="1181"/>
      <c r="G270" s="1181"/>
      <c r="H270" s="1181"/>
      <c r="I270" s="1181"/>
      <c r="J270" s="1181"/>
      <c r="K270" s="1181"/>
      <c r="L270" s="1181"/>
      <c r="M270" s="1181"/>
      <c r="N270" s="1181"/>
      <c r="O270" s="1181"/>
      <c r="P270" s="1183"/>
      <c r="Q270" s="2424"/>
      <c r="R270" s="1181"/>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81"/>
      <c r="C271" s="1181"/>
      <c r="D271" s="1181"/>
      <c r="E271" s="1181"/>
      <c r="F271" s="1181"/>
      <c r="G271" s="1181"/>
      <c r="H271" s="1181"/>
      <c r="I271" s="1181"/>
      <c r="J271" s="1181"/>
      <c r="K271" s="1181"/>
      <c r="L271" s="1181"/>
      <c r="M271" s="1181"/>
      <c r="N271" s="1181"/>
      <c r="O271" s="1181"/>
      <c r="P271" s="1184"/>
      <c r="Q271" s="2424"/>
      <c r="R271" s="1181"/>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81"/>
      <c r="C272" s="1181"/>
      <c r="D272" s="1181"/>
      <c r="E272" s="1181"/>
      <c r="F272" s="1181"/>
      <c r="G272" s="1181"/>
      <c r="H272" s="1181"/>
      <c r="I272" s="1181"/>
      <c r="J272" s="1181"/>
      <c r="K272" s="1181"/>
      <c r="L272" s="1181"/>
      <c r="M272" s="1181"/>
      <c r="N272" s="1181"/>
      <c r="O272" s="1181"/>
      <c r="P272" s="1183"/>
      <c r="Q272" s="2424"/>
      <c r="R272" s="1181"/>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81"/>
      <c r="C273" s="1181"/>
      <c r="D273" s="1181"/>
      <c r="E273" s="1181"/>
      <c r="F273" s="1181"/>
      <c r="G273" s="1181"/>
      <c r="H273" s="1181"/>
      <c r="I273" s="1181"/>
      <c r="J273" s="1181"/>
      <c r="K273" s="1181"/>
      <c r="L273" s="1181"/>
      <c r="M273" s="1181"/>
      <c r="N273" s="1181"/>
      <c r="O273" s="1181"/>
      <c r="P273" s="1183"/>
      <c r="Q273" s="2424"/>
      <c r="R273" s="1181"/>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81"/>
      <c r="C274" s="1181"/>
      <c r="D274" s="1181"/>
      <c r="E274" s="1181"/>
      <c r="F274" s="1181"/>
      <c r="G274" s="1181"/>
      <c r="H274" s="1181"/>
      <c r="I274" s="1181"/>
      <c r="J274" s="1181"/>
      <c r="K274" s="1181"/>
      <c r="L274" s="1181"/>
      <c r="M274" s="1181"/>
      <c r="N274" s="1181"/>
      <c r="O274" s="1181"/>
      <c r="P274" s="1183"/>
      <c r="Q274" s="2424"/>
      <c r="R274" s="1181"/>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81"/>
      <c r="C275" s="1181"/>
      <c r="D275" s="1181"/>
      <c r="E275" s="1181"/>
      <c r="F275" s="1181"/>
      <c r="G275" s="1181"/>
      <c r="H275" s="1181"/>
      <c r="I275" s="1181"/>
      <c r="J275" s="1181"/>
      <c r="K275" s="1181"/>
      <c r="L275" s="1181"/>
      <c r="M275" s="1181"/>
      <c r="N275" s="1181"/>
      <c r="O275" s="1181"/>
      <c r="P275" s="1183"/>
      <c r="Q275" s="2424"/>
      <c r="R275" s="1181"/>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81"/>
      <c r="C276" s="1181"/>
      <c r="D276" s="1181"/>
      <c r="E276" s="1181"/>
      <c r="F276" s="1181"/>
      <c r="G276" s="1181"/>
      <c r="H276" s="1181"/>
      <c r="I276" s="1181"/>
      <c r="J276" s="1181"/>
      <c r="K276" s="1181"/>
      <c r="L276" s="1181"/>
      <c r="M276" s="1181"/>
      <c r="N276" s="1181"/>
      <c r="O276" s="1181"/>
      <c r="P276" s="1183"/>
      <c r="Q276" s="2424"/>
      <c r="R276" s="1181"/>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81"/>
      <c r="C277" s="1181"/>
      <c r="D277" s="1181"/>
      <c r="E277" s="1181"/>
      <c r="F277" s="1181"/>
      <c r="G277" s="1181"/>
      <c r="H277" s="1181"/>
      <c r="I277" s="1181"/>
      <c r="J277" s="1181"/>
      <c r="K277" s="1181"/>
      <c r="L277" s="1181"/>
      <c r="M277" s="1181"/>
      <c r="N277" s="1181"/>
      <c r="O277" s="1181"/>
      <c r="P277" s="1183"/>
      <c r="Q277" s="2424"/>
      <c r="R277" s="1181"/>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81"/>
      <c r="C278" s="1181"/>
      <c r="D278" s="1181"/>
      <c r="E278" s="1181"/>
      <c r="F278" s="1181"/>
      <c r="G278" s="1181"/>
      <c r="H278" s="1181"/>
      <c r="I278" s="1181"/>
      <c r="J278" s="1181"/>
      <c r="K278" s="1181"/>
      <c r="L278" s="1181"/>
      <c r="M278" s="1181"/>
      <c r="N278" s="1181"/>
      <c r="O278" s="1181"/>
      <c r="P278" s="1183"/>
      <c r="Q278" s="2424"/>
      <c r="R278" s="1181"/>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81"/>
      <c r="C279" s="1181"/>
      <c r="D279" s="1181"/>
      <c r="E279" s="1181"/>
      <c r="F279" s="1181"/>
      <c r="G279" s="1181"/>
      <c r="H279" s="1181"/>
      <c r="I279" s="1181"/>
      <c r="J279" s="1181"/>
      <c r="K279" s="1181"/>
      <c r="L279" s="1181"/>
      <c r="M279" s="1181"/>
      <c r="N279" s="1181"/>
      <c r="O279" s="1181"/>
      <c r="P279" s="1183"/>
      <c r="Q279" s="2424"/>
      <c r="R279" s="1181"/>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81"/>
      <c r="C280" s="1181"/>
      <c r="D280" s="1181"/>
      <c r="E280" s="1181"/>
      <c r="F280" s="1181"/>
      <c r="G280" s="1181"/>
      <c r="H280" s="1181"/>
      <c r="I280" s="1181"/>
      <c r="J280" s="1181"/>
      <c r="K280" s="1181"/>
      <c r="L280" s="1181"/>
      <c r="M280" s="1181"/>
      <c r="N280" s="1181"/>
      <c r="O280" s="1181"/>
      <c r="P280" s="1183"/>
      <c r="Q280" s="2424"/>
      <c r="R280" s="1181"/>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81"/>
      <c r="C281" s="1181"/>
      <c r="D281" s="1181"/>
      <c r="E281" s="1181"/>
      <c r="F281" s="1181"/>
      <c r="G281" s="1181"/>
      <c r="H281" s="1181"/>
      <c r="I281" s="1181"/>
      <c r="J281" s="1181"/>
      <c r="K281" s="1181"/>
      <c r="L281" s="1181"/>
      <c r="M281" s="1181"/>
      <c r="N281" s="1181"/>
      <c r="O281" s="1181"/>
      <c r="P281" s="1183"/>
      <c r="Q281" s="2424"/>
      <c r="R281" s="1181"/>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81"/>
      <c r="C282" s="1181"/>
      <c r="D282" s="1181"/>
      <c r="E282" s="1181"/>
      <c r="F282" s="1181"/>
      <c r="G282" s="1181"/>
      <c r="H282" s="1181"/>
      <c r="I282" s="1181"/>
      <c r="J282" s="1181"/>
      <c r="K282" s="1181"/>
      <c r="L282" s="1181"/>
      <c r="M282" s="1181"/>
      <c r="N282" s="1181"/>
      <c r="O282" s="1181"/>
      <c r="P282" s="1183"/>
      <c r="Q282" s="2424"/>
      <c r="R282" s="1181"/>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81"/>
      <c r="C283" s="1181"/>
      <c r="D283" s="1181"/>
      <c r="E283" s="1181"/>
      <c r="F283" s="1181"/>
      <c r="G283" s="1181"/>
      <c r="H283" s="1181"/>
      <c r="I283" s="1181"/>
      <c r="J283" s="1181"/>
      <c r="K283" s="1181"/>
      <c r="L283" s="1181"/>
      <c r="M283" s="1181"/>
      <c r="N283" s="1181"/>
      <c r="O283" s="1181"/>
      <c r="P283" s="1183"/>
      <c r="Q283" s="2424"/>
      <c r="R283" s="1181"/>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81"/>
      <c r="C284" s="1181"/>
      <c r="D284" s="1181"/>
      <c r="E284" s="1181"/>
      <c r="F284" s="1181"/>
      <c r="G284" s="1181"/>
      <c r="H284" s="1181"/>
      <c r="I284" s="1181"/>
      <c r="J284" s="1181"/>
      <c r="K284" s="1181"/>
      <c r="L284" s="1181"/>
      <c r="M284" s="1181"/>
      <c r="N284" s="1181"/>
      <c r="O284" s="1181"/>
      <c r="P284" s="1183"/>
      <c r="Q284" s="2424"/>
      <c r="R284" s="1181"/>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81"/>
      <c r="C285" s="1181"/>
      <c r="D285" s="1181"/>
      <c r="E285" s="1181"/>
      <c r="F285" s="1181"/>
      <c r="G285" s="1181"/>
      <c r="H285" s="1181"/>
      <c r="I285" s="1181"/>
      <c r="J285" s="1181"/>
      <c r="K285" s="1181"/>
      <c r="L285" s="1181"/>
      <c r="M285" s="1181"/>
      <c r="N285" s="1181"/>
      <c r="O285" s="1181"/>
      <c r="P285" s="1183"/>
      <c r="Q285" s="2424"/>
      <c r="R285" s="1181"/>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81"/>
      <c r="C286" s="1181"/>
      <c r="D286" s="1181"/>
      <c r="E286" s="1181"/>
      <c r="F286" s="1181"/>
      <c r="G286" s="1181"/>
      <c r="H286" s="1181"/>
      <c r="I286" s="1181"/>
      <c r="J286" s="1181"/>
      <c r="K286" s="1181"/>
      <c r="L286" s="1181"/>
      <c r="M286" s="1181"/>
      <c r="N286" s="1181"/>
      <c r="O286" s="1181"/>
      <c r="P286" s="1183"/>
      <c r="Q286" s="2424"/>
      <c r="R286" s="1181"/>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81"/>
      <c r="C287" s="1181"/>
      <c r="D287" s="1181"/>
      <c r="E287" s="1181"/>
      <c r="F287" s="1181"/>
      <c r="G287" s="1181"/>
      <c r="H287" s="1181"/>
      <c r="I287" s="1181"/>
      <c r="J287" s="1181"/>
      <c r="K287" s="1181"/>
      <c r="L287" s="1181"/>
      <c r="M287" s="1181"/>
      <c r="N287" s="1181"/>
      <c r="O287" s="1181"/>
      <c r="P287" s="1183"/>
      <c r="Q287" s="2424"/>
      <c r="R287" s="1181"/>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81"/>
      <c r="C288" s="1181"/>
      <c r="D288" s="1181"/>
      <c r="E288" s="1181"/>
      <c r="F288" s="1181"/>
      <c r="G288" s="1181"/>
      <c r="H288" s="1181"/>
      <c r="I288" s="1181"/>
      <c r="J288" s="1181"/>
      <c r="K288" s="1181"/>
      <c r="L288" s="1181"/>
      <c r="M288" s="1181"/>
      <c r="N288" s="1181"/>
      <c r="O288" s="1181"/>
      <c r="P288" s="1183"/>
      <c r="Q288" s="2424"/>
      <c r="R288" s="1181"/>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81"/>
      <c r="C289" s="1181"/>
      <c r="D289" s="1181"/>
      <c r="E289" s="1181"/>
      <c r="F289" s="1181"/>
      <c r="G289" s="1181"/>
      <c r="H289" s="1181"/>
      <c r="I289" s="1181"/>
      <c r="J289" s="1181"/>
      <c r="K289" s="1181"/>
      <c r="L289" s="1181"/>
      <c r="M289" s="1181"/>
      <c r="N289" s="1181"/>
      <c r="O289" s="1181"/>
      <c r="P289" s="1183"/>
      <c r="Q289" s="2424"/>
      <c r="R289" s="1181"/>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81"/>
      <c r="C290" s="1181"/>
      <c r="D290" s="1181"/>
      <c r="E290" s="1181"/>
      <c r="F290" s="1181"/>
      <c r="G290" s="1181"/>
      <c r="H290" s="1181"/>
      <c r="I290" s="1181"/>
      <c r="J290" s="1181"/>
      <c r="K290" s="1181"/>
      <c r="L290" s="1181"/>
      <c r="M290" s="1181"/>
      <c r="N290" s="1181"/>
      <c r="O290" s="1181"/>
      <c r="P290" s="1183"/>
      <c r="Q290" s="2424"/>
      <c r="R290" s="1181"/>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81"/>
      <c r="C291" s="1181"/>
      <c r="D291" s="1181"/>
      <c r="E291" s="1181"/>
      <c r="F291" s="1181"/>
      <c r="G291" s="1181"/>
      <c r="H291" s="1181"/>
      <c r="I291" s="1181"/>
      <c r="J291" s="1181"/>
      <c r="K291" s="1181"/>
      <c r="L291" s="1181"/>
      <c r="M291" s="1181"/>
      <c r="N291" s="1181"/>
      <c r="O291" s="1181"/>
      <c r="P291" s="1183"/>
      <c r="Q291" s="2424"/>
      <c r="R291" s="1181"/>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81"/>
      <c r="C292" s="1181"/>
      <c r="D292" s="1181"/>
      <c r="E292" s="1181"/>
      <c r="F292" s="1181"/>
      <c r="G292" s="1181"/>
      <c r="H292" s="1181"/>
      <c r="I292" s="1181"/>
      <c r="J292" s="1181"/>
      <c r="K292" s="1181"/>
      <c r="L292" s="1181"/>
      <c r="M292" s="1181"/>
      <c r="N292" s="1181"/>
      <c r="O292" s="1181"/>
      <c r="P292" s="1183"/>
      <c r="Q292" s="2424"/>
      <c r="R292" s="1181"/>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81"/>
      <c r="C293" s="1181"/>
      <c r="D293" s="1181"/>
      <c r="E293" s="1181"/>
      <c r="F293" s="1181"/>
      <c r="G293" s="1181"/>
      <c r="H293" s="1181"/>
      <c r="I293" s="1181"/>
      <c r="J293" s="1181"/>
      <c r="K293" s="1181"/>
      <c r="L293" s="1181"/>
      <c r="M293" s="1181"/>
      <c r="N293" s="1181"/>
      <c r="O293" s="1181"/>
      <c r="P293" s="1183"/>
      <c r="Q293" s="2424"/>
      <c r="R293" s="1181"/>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81"/>
      <c r="C294" s="1181"/>
      <c r="D294" s="1181"/>
      <c r="E294" s="1181"/>
      <c r="F294" s="1181"/>
      <c r="G294" s="1181"/>
      <c r="H294" s="1181"/>
      <c r="I294" s="1181"/>
      <c r="J294" s="1181"/>
      <c r="K294" s="1181"/>
      <c r="L294" s="1181"/>
      <c r="M294" s="1181"/>
      <c r="N294" s="1181"/>
      <c r="O294" s="1181"/>
      <c r="P294" s="1183"/>
      <c r="Q294" s="2424"/>
      <c r="R294" s="1181"/>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81"/>
      <c r="C295" s="1181"/>
      <c r="D295" s="1181"/>
      <c r="E295" s="1181"/>
      <c r="F295" s="1181"/>
      <c r="G295" s="1181"/>
      <c r="H295" s="1181"/>
      <c r="I295" s="1181"/>
      <c r="J295" s="1181"/>
      <c r="K295" s="1181"/>
      <c r="L295" s="1181"/>
      <c r="M295" s="1181"/>
      <c r="N295" s="1181"/>
      <c r="O295" s="1181"/>
      <c r="P295" s="1183"/>
      <c r="Q295" s="2424"/>
      <c r="R295" s="1181"/>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81"/>
      <c r="C296" s="1181"/>
      <c r="D296" s="1181"/>
      <c r="E296" s="1181"/>
      <c r="F296" s="1181"/>
      <c r="G296" s="1181"/>
      <c r="H296" s="1181"/>
      <c r="I296" s="1181"/>
      <c r="J296" s="1181"/>
      <c r="K296" s="1181"/>
      <c r="L296" s="1181"/>
      <c r="M296" s="1181"/>
      <c r="N296" s="1181"/>
      <c r="O296" s="1181"/>
      <c r="P296" s="1183"/>
      <c r="Q296" s="2424"/>
      <c r="R296" s="1181"/>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81"/>
      <c r="C297" s="1181"/>
      <c r="D297" s="1181"/>
      <c r="E297" s="1181"/>
      <c r="F297" s="1181"/>
      <c r="G297" s="1181"/>
      <c r="H297" s="1181"/>
      <c r="I297" s="1181"/>
      <c r="J297" s="1181"/>
      <c r="K297" s="1181"/>
      <c r="L297" s="1181"/>
      <c r="M297" s="1181"/>
      <c r="N297" s="1181"/>
      <c r="O297" s="1181"/>
      <c r="P297" s="1183"/>
      <c r="Q297" s="2424"/>
      <c r="R297" s="1181"/>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81"/>
      <c r="C298" s="1181"/>
      <c r="D298" s="1181"/>
      <c r="E298" s="1181"/>
      <c r="F298" s="1181"/>
      <c r="G298" s="1181"/>
      <c r="H298" s="1181"/>
      <c r="I298" s="1181"/>
      <c r="J298" s="1181"/>
      <c r="K298" s="1181"/>
      <c r="L298" s="1181"/>
      <c r="M298" s="1181"/>
      <c r="N298" s="1181"/>
      <c r="O298" s="1181"/>
      <c r="P298" s="2426"/>
      <c r="Q298" s="2424"/>
      <c r="R298" s="1181"/>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81"/>
      <c r="C299" s="1181"/>
      <c r="D299" s="1181"/>
      <c r="E299" s="1181"/>
      <c r="F299" s="1181"/>
      <c r="G299" s="1181"/>
      <c r="H299" s="1181"/>
      <c r="I299" s="1181"/>
      <c r="J299" s="1181"/>
      <c r="K299" s="1181"/>
      <c r="L299" s="1181"/>
      <c r="M299" s="1181"/>
      <c r="N299" s="1181"/>
      <c r="O299" s="1181"/>
      <c r="P299" s="1183"/>
      <c r="Q299" s="2424"/>
      <c r="R299" s="1181"/>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81"/>
      <c r="C300" s="1181"/>
      <c r="D300" s="1181"/>
      <c r="E300" s="1181"/>
      <c r="F300" s="1181"/>
      <c r="G300" s="1181"/>
      <c r="H300" s="1181"/>
      <c r="I300" s="1181"/>
      <c r="J300" s="1181"/>
      <c r="K300" s="1181"/>
      <c r="L300" s="1181"/>
      <c r="M300" s="1181"/>
      <c r="N300" s="1181"/>
      <c r="O300" s="1181"/>
      <c r="P300" s="1183"/>
      <c r="Q300" s="2424"/>
      <c r="R300" s="1181"/>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81"/>
      <c r="C301" s="1181"/>
      <c r="D301" s="1181"/>
      <c r="E301" s="1181"/>
      <c r="F301" s="1181"/>
      <c r="G301" s="1181"/>
      <c r="H301" s="1181"/>
      <c r="I301" s="1181"/>
      <c r="J301" s="1181"/>
      <c r="K301" s="1181"/>
      <c r="L301" s="1181"/>
      <c r="M301" s="1181"/>
      <c r="N301" s="1181"/>
      <c r="O301" s="1181"/>
      <c r="P301" s="1183"/>
      <c r="Q301" s="2424"/>
      <c r="R301" s="1181"/>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81"/>
      <c r="C302" s="1181"/>
      <c r="D302" s="1181"/>
      <c r="E302" s="1181"/>
      <c r="F302" s="1181"/>
      <c r="G302" s="1181"/>
      <c r="H302" s="1181"/>
      <c r="I302" s="1181"/>
      <c r="J302" s="1181"/>
      <c r="K302" s="1181"/>
      <c r="L302" s="1181"/>
      <c r="M302" s="1181"/>
      <c r="N302" s="1181"/>
      <c r="O302" s="1181"/>
      <c r="P302" s="1183"/>
      <c r="Q302" s="2424"/>
      <c r="R302" s="1181"/>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81"/>
      <c r="C303" s="1181"/>
      <c r="D303" s="1181"/>
      <c r="E303" s="1181"/>
      <c r="F303" s="1181"/>
      <c r="G303" s="1181"/>
      <c r="H303" s="1181"/>
      <c r="I303" s="1181"/>
      <c r="J303" s="1181"/>
      <c r="K303" s="1181"/>
      <c r="L303" s="1181"/>
      <c r="M303" s="1181"/>
      <c r="N303" s="1181"/>
      <c r="O303" s="1181"/>
      <c r="P303" s="1183"/>
      <c r="Q303" s="2424"/>
      <c r="R303" s="1181"/>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81"/>
      <c r="C304" s="1181"/>
      <c r="D304" s="1181"/>
      <c r="E304" s="1181"/>
      <c r="F304" s="1181"/>
      <c r="G304" s="1181"/>
      <c r="H304" s="1181"/>
      <c r="I304" s="1181"/>
      <c r="J304" s="1181"/>
      <c r="K304" s="1181"/>
      <c r="L304" s="1181"/>
      <c r="M304" s="1181"/>
      <c r="N304" s="1181"/>
      <c r="O304" s="1181"/>
      <c r="P304" s="1183"/>
      <c r="Q304" s="2424"/>
      <c r="R304" s="1181"/>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81"/>
      <c r="C305" s="1181"/>
      <c r="D305" s="1181"/>
      <c r="E305" s="1181"/>
      <c r="F305" s="1181"/>
      <c r="G305" s="1181"/>
      <c r="H305" s="1181"/>
      <c r="I305" s="1181"/>
      <c r="J305" s="1181"/>
      <c r="K305" s="1181"/>
      <c r="L305" s="1181"/>
      <c r="M305" s="1181"/>
      <c r="N305" s="1181"/>
      <c r="O305" s="1181"/>
      <c r="P305" s="1183"/>
      <c r="Q305" s="2424"/>
      <c r="R305" s="1181"/>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81"/>
      <c r="C306" s="1181"/>
      <c r="D306" s="1181"/>
      <c r="E306" s="1181"/>
      <c r="F306" s="1181"/>
      <c r="G306" s="1181"/>
      <c r="H306" s="1181"/>
      <c r="I306" s="1181"/>
      <c r="J306" s="1181"/>
      <c r="K306" s="1181"/>
      <c r="L306" s="1181"/>
      <c r="M306" s="1181"/>
      <c r="N306" s="1181"/>
      <c r="O306" s="1181"/>
      <c r="P306" s="1183"/>
      <c r="Q306" s="2424"/>
      <c r="R306" s="1181"/>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81"/>
      <c r="C307" s="1181"/>
      <c r="D307" s="1181"/>
      <c r="E307" s="1181"/>
      <c r="F307" s="1181"/>
      <c r="G307" s="1181"/>
      <c r="H307" s="1181"/>
      <c r="I307" s="1181"/>
      <c r="J307" s="1181"/>
      <c r="K307" s="1181"/>
      <c r="L307" s="1181"/>
      <c r="M307" s="1181"/>
      <c r="N307" s="1181"/>
      <c r="O307" s="1181"/>
      <c r="P307" s="1183"/>
      <c r="Q307" s="2424"/>
      <c r="R307" s="1181"/>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81"/>
      <c r="C308" s="1181"/>
      <c r="D308" s="1181"/>
      <c r="E308" s="1181"/>
      <c r="F308" s="1181"/>
      <c r="G308" s="1181"/>
      <c r="H308" s="1181"/>
      <c r="I308" s="1181"/>
      <c r="J308" s="1181"/>
      <c r="K308" s="1181"/>
      <c r="L308" s="1181"/>
      <c r="M308" s="1181"/>
      <c r="N308" s="1181"/>
      <c r="O308" s="1181"/>
      <c r="P308" s="1183"/>
      <c r="Q308" s="2424"/>
      <c r="R308" s="1181"/>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81"/>
      <c r="C309" s="1181"/>
      <c r="D309" s="1181"/>
      <c r="E309" s="1181"/>
      <c r="F309" s="1181"/>
      <c r="G309" s="1181"/>
      <c r="H309" s="1181"/>
      <c r="I309" s="1181"/>
      <c r="J309" s="1181"/>
      <c r="K309" s="1181"/>
      <c r="L309" s="1181"/>
      <c r="M309" s="1181"/>
      <c r="N309" s="1181"/>
      <c r="O309" s="1181"/>
      <c r="P309" s="1183"/>
      <c r="Q309" s="1181"/>
      <c r="R309" s="1181"/>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81"/>
      <c r="C310" s="1181"/>
      <c r="D310" s="1181"/>
      <c r="E310" s="1181"/>
      <c r="F310" s="1181"/>
      <c r="G310" s="1181"/>
      <c r="H310" s="1181"/>
      <c r="I310" s="1181"/>
      <c r="J310" s="1181"/>
      <c r="K310" s="1181"/>
      <c r="L310" s="1181"/>
      <c r="M310" s="1181"/>
      <c r="N310" s="1181"/>
      <c r="O310" s="1181"/>
      <c r="P310" s="1183"/>
      <c r="Q310" s="2424"/>
      <c r="R310" s="1181"/>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81"/>
      <c r="C311" s="1181"/>
      <c r="D311" s="1181"/>
      <c r="E311" s="1181"/>
      <c r="F311" s="1181"/>
      <c r="G311" s="1181"/>
      <c r="H311" s="1181"/>
      <c r="I311" s="1181"/>
      <c r="J311" s="1181"/>
      <c r="K311" s="1181"/>
      <c r="L311" s="1181"/>
      <c r="M311" s="1181"/>
      <c r="N311" s="1181"/>
      <c r="O311" s="1181"/>
      <c r="P311" s="1183"/>
      <c r="Q311" s="2424"/>
      <c r="R311" s="1181"/>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81"/>
      <c r="C312" s="1181"/>
      <c r="D312" s="1181"/>
      <c r="E312" s="1181"/>
      <c r="F312" s="1181"/>
      <c r="G312" s="1181"/>
      <c r="H312" s="1181"/>
      <c r="I312" s="1181"/>
      <c r="J312" s="1181"/>
      <c r="K312" s="1181"/>
      <c r="L312" s="1181"/>
      <c r="M312" s="1181"/>
      <c r="N312" s="1181"/>
      <c r="O312" s="1181"/>
      <c r="P312" s="1183"/>
      <c r="Q312" s="2424"/>
      <c r="R312" s="1181"/>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81"/>
      <c r="C313" s="1181"/>
      <c r="D313" s="1181"/>
      <c r="E313" s="1181"/>
      <c r="F313" s="1181"/>
      <c r="G313" s="1181"/>
      <c r="H313" s="1181"/>
      <c r="I313" s="1181"/>
      <c r="J313" s="1181"/>
      <c r="K313" s="1181"/>
      <c r="L313" s="1181"/>
      <c r="M313" s="1181"/>
      <c r="N313" s="1181"/>
      <c r="O313" s="1181"/>
      <c r="P313" s="2425"/>
      <c r="Q313" s="1181"/>
      <c r="R313" s="1181"/>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81"/>
      <c r="C314" s="1181"/>
      <c r="D314" s="1181"/>
      <c r="E314" s="1181"/>
      <c r="F314" s="1181"/>
      <c r="G314" s="1181"/>
      <c r="H314" s="1181"/>
      <c r="I314" s="1181"/>
      <c r="J314" s="1181"/>
      <c r="K314" s="1181"/>
      <c r="L314" s="1181"/>
      <c r="M314" s="1181"/>
      <c r="N314" s="1181"/>
      <c r="O314" s="1181"/>
      <c r="P314" s="1183"/>
      <c r="Q314" s="2424"/>
      <c r="R314" s="1181"/>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81"/>
      <c r="C315" s="1181"/>
      <c r="D315" s="1181"/>
      <c r="E315" s="1181"/>
      <c r="F315" s="1181"/>
      <c r="G315" s="1181"/>
      <c r="H315" s="1181"/>
      <c r="I315" s="1181"/>
      <c r="J315" s="1181"/>
      <c r="K315" s="1181"/>
      <c r="L315" s="1181"/>
      <c r="M315" s="1181"/>
      <c r="N315" s="1181"/>
      <c r="O315" s="1181"/>
      <c r="P315" s="1183"/>
      <c r="Q315" s="2424"/>
      <c r="R315" s="1181"/>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81"/>
      <c r="C316" s="1181"/>
      <c r="D316" s="1181"/>
      <c r="E316" s="1181"/>
      <c r="F316" s="1181"/>
      <c r="G316" s="1181"/>
      <c r="H316" s="1181"/>
      <c r="I316" s="1181"/>
      <c r="J316" s="1181"/>
      <c r="K316" s="1181"/>
      <c r="L316" s="1181"/>
      <c r="M316" s="1181"/>
      <c r="N316" s="1181"/>
      <c r="O316" s="1181"/>
      <c r="P316" s="1183"/>
      <c r="Q316" s="2424"/>
      <c r="R316" s="1181"/>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81"/>
      <c r="C317" s="1181"/>
      <c r="D317" s="1181"/>
      <c r="E317" s="1181"/>
      <c r="F317" s="1181"/>
      <c r="G317" s="1181"/>
      <c r="H317" s="1181"/>
      <c r="I317" s="1181"/>
      <c r="J317" s="1181"/>
      <c r="K317" s="1181"/>
      <c r="L317" s="1181"/>
      <c r="M317" s="1181"/>
      <c r="N317" s="1181"/>
      <c r="O317" s="1181"/>
      <c r="P317" s="2425"/>
      <c r="Q317" s="1181"/>
      <c r="R317" s="1181"/>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81"/>
      <c r="C318" s="1181"/>
      <c r="D318" s="1181"/>
      <c r="E318" s="1181"/>
      <c r="F318" s="1181"/>
      <c r="G318" s="1181"/>
      <c r="H318" s="1181"/>
      <c r="I318" s="1181"/>
      <c r="J318" s="1181"/>
      <c r="K318" s="1181"/>
      <c r="L318" s="1181"/>
      <c r="M318" s="1181"/>
      <c r="N318" s="1181"/>
      <c r="O318" s="1181"/>
      <c r="P318" s="1183"/>
      <c r="Q318" s="2424"/>
      <c r="R318" s="1181"/>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81"/>
      <c r="C319" s="1181"/>
      <c r="D319" s="1181"/>
      <c r="E319" s="1181"/>
      <c r="F319" s="1181"/>
      <c r="G319" s="1181"/>
      <c r="H319" s="1181"/>
      <c r="I319" s="1181"/>
      <c r="J319" s="1181"/>
      <c r="K319" s="1181"/>
      <c r="L319" s="1181"/>
      <c r="M319" s="1181"/>
      <c r="N319" s="1181"/>
      <c r="O319" s="1181"/>
      <c r="P319" s="1183"/>
      <c r="Q319" s="2424"/>
      <c r="R319" s="1181"/>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81"/>
      <c r="C320" s="1181"/>
      <c r="D320" s="1181"/>
      <c r="E320" s="1181"/>
      <c r="F320" s="1181"/>
      <c r="G320" s="1181"/>
      <c r="H320" s="1181"/>
      <c r="I320" s="1181"/>
      <c r="J320" s="1181"/>
      <c r="K320" s="1181"/>
      <c r="L320" s="1181"/>
      <c r="M320" s="1181"/>
      <c r="N320" s="1181"/>
      <c r="O320" s="1181"/>
      <c r="P320" s="1183"/>
      <c r="Q320" s="1181"/>
      <c r="R320" s="1181"/>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81"/>
      <c r="C321" s="1181"/>
      <c r="D321" s="1181"/>
      <c r="E321" s="1181"/>
      <c r="F321" s="1181"/>
      <c r="G321" s="1181"/>
      <c r="H321" s="1181"/>
      <c r="I321" s="1181"/>
      <c r="J321" s="1181"/>
      <c r="K321" s="1181"/>
      <c r="L321" s="1181"/>
      <c r="M321" s="1181"/>
      <c r="N321" s="1181"/>
      <c r="O321" s="1181"/>
      <c r="P321" s="2426"/>
      <c r="Q321" s="1181"/>
      <c r="R321" s="1181"/>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81"/>
      <c r="C322" s="1181"/>
      <c r="D322" s="1181"/>
      <c r="E322" s="1181"/>
      <c r="F322" s="1181"/>
      <c r="G322" s="1181"/>
      <c r="H322" s="1181"/>
      <c r="I322" s="1181"/>
      <c r="J322" s="1181"/>
      <c r="K322" s="1181"/>
      <c r="L322" s="1181"/>
      <c r="M322" s="1181"/>
      <c r="N322" s="1181"/>
      <c r="O322" s="1181"/>
      <c r="P322" s="1183"/>
      <c r="Q322" s="2424"/>
      <c r="R322" s="1181"/>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81"/>
      <c r="C323" s="1181"/>
      <c r="D323" s="1181"/>
      <c r="E323" s="1181"/>
      <c r="F323" s="1181"/>
      <c r="G323" s="1181"/>
      <c r="H323" s="1181"/>
      <c r="I323" s="1181"/>
      <c r="J323" s="1181"/>
      <c r="K323" s="1181"/>
      <c r="L323" s="1181"/>
      <c r="M323" s="1181"/>
      <c r="N323" s="1181"/>
      <c r="O323" s="1181"/>
      <c r="P323" s="1183"/>
      <c r="Q323" s="2424"/>
      <c r="R323" s="1181"/>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81"/>
      <c r="C324" s="1181"/>
      <c r="D324" s="1181"/>
      <c r="E324" s="1181"/>
      <c r="F324" s="1181"/>
      <c r="G324" s="1181"/>
      <c r="H324" s="1181"/>
      <c r="I324" s="1181"/>
      <c r="J324" s="1181"/>
      <c r="K324" s="1181"/>
      <c r="L324" s="1181"/>
      <c r="M324" s="1181"/>
      <c r="N324" s="1181"/>
      <c r="O324" s="1181"/>
      <c r="P324" s="1183"/>
      <c r="Q324" s="2424"/>
      <c r="R324" s="1181"/>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81"/>
      <c r="C325" s="1181"/>
      <c r="D325" s="1181"/>
      <c r="E325" s="1181"/>
      <c r="F325" s="1181"/>
      <c r="G325" s="1181"/>
      <c r="H325" s="1181"/>
      <c r="I325" s="1181"/>
      <c r="J325" s="1181"/>
      <c r="K325" s="1181"/>
      <c r="L325" s="1181"/>
      <c r="M325" s="1181"/>
      <c r="N325" s="1181"/>
      <c r="O325" s="1181"/>
      <c r="P325" s="2425"/>
      <c r="Q325" s="1181"/>
      <c r="R325" s="1181"/>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81"/>
      <c r="C326" s="1181"/>
      <c r="D326" s="1181"/>
      <c r="E326" s="1181"/>
      <c r="F326" s="1181"/>
      <c r="G326" s="1181"/>
      <c r="H326" s="1181"/>
      <c r="I326" s="1181"/>
      <c r="J326" s="1181"/>
      <c r="K326" s="1181"/>
      <c r="L326" s="1181"/>
      <c r="M326" s="1181"/>
      <c r="N326" s="1181"/>
      <c r="O326" s="1181"/>
      <c r="P326" s="1183"/>
      <c r="Q326" s="2424"/>
      <c r="R326" s="1181"/>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81"/>
      <c r="C327" s="1181"/>
      <c r="D327" s="1181"/>
      <c r="E327" s="1181"/>
      <c r="F327" s="1181"/>
      <c r="G327" s="1181"/>
      <c r="H327" s="1181"/>
      <c r="I327" s="1181"/>
      <c r="J327" s="1181"/>
      <c r="K327" s="1181"/>
      <c r="L327" s="1181"/>
      <c r="M327" s="1181"/>
      <c r="N327" s="1181"/>
      <c r="O327" s="1181"/>
      <c r="P327" s="2426"/>
      <c r="Q327" s="2424"/>
      <c r="R327" s="1181"/>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81"/>
      <c r="C328" s="1181"/>
      <c r="D328" s="1181"/>
      <c r="E328" s="1181"/>
      <c r="F328" s="1181"/>
      <c r="G328" s="1181"/>
      <c r="H328" s="1181"/>
      <c r="I328" s="1181"/>
      <c r="J328" s="1181"/>
      <c r="K328" s="1181"/>
      <c r="L328" s="1181"/>
      <c r="M328" s="1181"/>
      <c r="N328" s="1181"/>
      <c r="O328" s="1181"/>
      <c r="P328" s="1183"/>
      <c r="Q328" s="1181"/>
      <c r="R328" s="1181"/>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81"/>
      <c r="C329" s="1181"/>
      <c r="D329" s="1181"/>
      <c r="E329" s="1181"/>
      <c r="F329" s="1181"/>
      <c r="G329" s="1181"/>
      <c r="H329" s="1181"/>
      <c r="I329" s="1181"/>
      <c r="J329" s="1181"/>
      <c r="K329" s="1181"/>
      <c r="L329" s="1181"/>
      <c r="M329" s="1181"/>
      <c r="N329" s="1181"/>
      <c r="O329" s="1181"/>
      <c r="P329" s="1183"/>
      <c r="Q329" s="2424"/>
      <c r="R329" s="1181"/>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81"/>
      <c r="C330" s="1181"/>
      <c r="D330" s="1181"/>
      <c r="E330" s="1181"/>
      <c r="F330" s="1181"/>
      <c r="G330" s="1181"/>
      <c r="H330" s="1181"/>
      <c r="I330" s="1181"/>
      <c r="J330" s="1181"/>
      <c r="K330" s="1181"/>
      <c r="L330" s="1181"/>
      <c r="M330" s="1181"/>
      <c r="N330" s="1181"/>
      <c r="O330" s="1181"/>
      <c r="P330" s="1183"/>
      <c r="Q330" s="2424"/>
      <c r="R330" s="1181"/>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81"/>
      <c r="C331" s="1181"/>
      <c r="D331" s="1181"/>
      <c r="E331" s="1181"/>
      <c r="F331" s="1181"/>
      <c r="G331" s="1181"/>
      <c r="H331" s="1181"/>
      <c r="I331" s="1181"/>
      <c r="J331" s="1181"/>
      <c r="K331" s="1181"/>
      <c r="L331" s="1181"/>
      <c r="M331" s="1181"/>
      <c r="N331" s="1181"/>
      <c r="O331" s="1181"/>
      <c r="P331" s="1183"/>
      <c r="Q331" s="2424"/>
      <c r="R331" s="1181"/>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81"/>
      <c r="C332" s="1181"/>
      <c r="D332" s="1181"/>
      <c r="E332" s="1181"/>
      <c r="F332" s="1181"/>
      <c r="G332" s="1181"/>
      <c r="H332" s="1181"/>
      <c r="I332" s="1181"/>
      <c r="J332" s="1181"/>
      <c r="K332" s="1181"/>
      <c r="L332" s="1181"/>
      <c r="M332" s="1181"/>
      <c r="N332" s="1181"/>
      <c r="O332" s="1181"/>
      <c r="P332" s="1183"/>
      <c r="Q332" s="1181"/>
      <c r="R332" s="1181"/>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81"/>
      <c r="C333" s="1181"/>
      <c r="D333" s="1181"/>
      <c r="E333" s="1181"/>
      <c r="F333" s="1181"/>
      <c r="G333" s="1181"/>
      <c r="H333" s="1181"/>
      <c r="I333" s="1181"/>
      <c r="J333" s="1181"/>
      <c r="K333" s="1181"/>
      <c r="L333" s="1181"/>
      <c r="M333" s="1181"/>
      <c r="N333" s="1181"/>
      <c r="O333" s="1181"/>
      <c r="P333" s="2425"/>
      <c r="Q333" s="2424"/>
      <c r="R333" s="1181"/>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81"/>
      <c r="C334" s="1181"/>
      <c r="D334" s="1181"/>
      <c r="E334" s="1181"/>
      <c r="F334" s="1181"/>
      <c r="G334" s="1181"/>
      <c r="H334" s="1181"/>
      <c r="I334" s="1181"/>
      <c r="J334" s="1181"/>
      <c r="K334" s="1181"/>
      <c r="L334" s="1181"/>
      <c r="M334" s="1181"/>
      <c r="N334" s="1181"/>
      <c r="O334" s="1181"/>
      <c r="P334" s="1183"/>
      <c r="Q334" s="2424"/>
      <c r="R334" s="1181"/>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81"/>
      <c r="C335" s="1181"/>
      <c r="D335" s="1181"/>
      <c r="E335" s="1181"/>
      <c r="F335" s="1181"/>
      <c r="G335" s="1181"/>
      <c r="H335" s="1181"/>
      <c r="I335" s="1181"/>
      <c r="J335" s="1181"/>
      <c r="K335" s="1181"/>
      <c r="L335" s="1181"/>
      <c r="M335" s="1181"/>
      <c r="N335" s="1181"/>
      <c r="O335" s="1181"/>
      <c r="P335" s="1183"/>
      <c r="Q335" s="2424"/>
      <c r="R335" s="1181"/>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81"/>
      <c r="C336" s="1181"/>
      <c r="D336" s="1181"/>
      <c r="E336" s="1181"/>
      <c r="F336" s="1181"/>
      <c r="G336" s="1181"/>
      <c r="H336" s="1181"/>
      <c r="I336" s="1181"/>
      <c r="J336" s="1181"/>
      <c r="K336" s="1181"/>
      <c r="L336" s="1181"/>
      <c r="M336" s="1181"/>
      <c r="N336" s="1181"/>
      <c r="O336" s="1181"/>
      <c r="P336" s="1183"/>
      <c r="Q336" s="2424"/>
      <c r="R336" s="1181"/>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81"/>
      <c r="C337" s="1181"/>
      <c r="D337" s="1181"/>
      <c r="E337" s="1181"/>
      <c r="F337" s="1181"/>
      <c r="G337" s="1181"/>
      <c r="H337" s="1181"/>
      <c r="I337" s="1181"/>
      <c r="J337" s="1181"/>
      <c r="K337" s="1181"/>
      <c r="L337" s="1181"/>
      <c r="M337" s="1181"/>
      <c r="N337" s="1181"/>
      <c r="O337" s="1181"/>
      <c r="P337" s="1183"/>
      <c r="Q337" s="2424"/>
      <c r="R337" s="1181"/>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81"/>
      <c r="C338" s="1181"/>
      <c r="D338" s="1181"/>
      <c r="E338" s="1181"/>
      <c r="F338" s="1181"/>
      <c r="G338" s="1181"/>
      <c r="H338" s="1181"/>
      <c r="I338" s="1181"/>
      <c r="J338" s="1181"/>
      <c r="K338" s="1181"/>
      <c r="L338" s="1181"/>
      <c r="M338" s="1181"/>
      <c r="N338" s="1181"/>
      <c r="O338" s="1181"/>
      <c r="P338" s="1183"/>
      <c r="Q338" s="2424"/>
      <c r="R338" s="1181"/>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81"/>
      <c r="C339" s="1181"/>
      <c r="D339" s="1181"/>
      <c r="E339" s="1181"/>
      <c r="F339" s="1181"/>
      <c r="G339" s="1181"/>
      <c r="H339" s="1181"/>
      <c r="I339" s="1181"/>
      <c r="J339" s="1181"/>
      <c r="K339" s="1181"/>
      <c r="L339" s="1181"/>
      <c r="M339" s="1181"/>
      <c r="N339" s="1181"/>
      <c r="O339" s="1181"/>
      <c r="P339" s="1183"/>
      <c r="Q339" s="2424"/>
      <c r="R339" s="1181"/>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81"/>
      <c r="C340" s="1181"/>
      <c r="D340" s="1181"/>
      <c r="E340" s="1181"/>
      <c r="F340" s="1181"/>
      <c r="G340" s="1181"/>
      <c r="H340" s="1181"/>
      <c r="I340" s="1181"/>
      <c r="J340" s="1181"/>
      <c r="K340" s="1181"/>
      <c r="L340" s="1181"/>
      <c r="M340" s="1181"/>
      <c r="N340" s="1181"/>
      <c r="O340" s="1181"/>
      <c r="P340" s="1183"/>
      <c r="Q340" s="2424"/>
      <c r="R340" s="1181"/>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81"/>
      <c r="C341" s="1181"/>
      <c r="D341" s="1181"/>
      <c r="E341" s="1181"/>
      <c r="F341" s="1181"/>
      <c r="G341" s="1181"/>
      <c r="H341" s="1181"/>
      <c r="I341" s="1181"/>
      <c r="J341" s="1181"/>
      <c r="K341" s="1181"/>
      <c r="L341" s="1181"/>
      <c r="M341" s="1181"/>
      <c r="N341" s="1181"/>
      <c r="O341" s="1181"/>
      <c r="P341" s="1183"/>
      <c r="Q341" s="2424"/>
      <c r="R341" s="1181"/>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81"/>
      <c r="C342" s="1181"/>
      <c r="D342" s="1181"/>
      <c r="E342" s="1181"/>
      <c r="F342" s="1181"/>
      <c r="G342" s="1181"/>
      <c r="H342" s="1181"/>
      <c r="I342" s="1181"/>
      <c r="J342" s="1181"/>
      <c r="K342" s="1181"/>
      <c r="L342" s="1181"/>
      <c r="M342" s="1181"/>
      <c r="N342" s="1181"/>
      <c r="O342" s="1181"/>
      <c r="P342" s="1183"/>
      <c r="Q342" s="2424"/>
      <c r="R342" s="1181"/>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81"/>
      <c r="C343" s="1181"/>
      <c r="D343" s="1181"/>
      <c r="E343" s="1181"/>
      <c r="F343" s="1181"/>
      <c r="G343" s="1181"/>
      <c r="H343" s="1181"/>
      <c r="I343" s="1181"/>
      <c r="J343" s="1181"/>
      <c r="K343" s="1181"/>
      <c r="L343" s="1181"/>
      <c r="M343" s="1181"/>
      <c r="N343" s="1181"/>
      <c r="O343" s="1181"/>
      <c r="P343" s="1183"/>
      <c r="Q343" s="2424"/>
      <c r="R343" s="1181"/>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81"/>
      <c r="C344" s="1181"/>
      <c r="D344" s="1181"/>
      <c r="E344" s="1181"/>
      <c r="F344" s="1181"/>
      <c r="G344" s="1181"/>
      <c r="H344" s="1181"/>
      <c r="I344" s="1181"/>
      <c r="J344" s="1181"/>
      <c r="K344" s="1181"/>
      <c r="L344" s="1181"/>
      <c r="M344" s="1181"/>
      <c r="N344" s="1181"/>
      <c r="O344" s="1181"/>
      <c r="P344" s="1183"/>
      <c r="Q344" s="2424"/>
      <c r="R344" s="1181"/>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81"/>
      <c r="C345" s="1181"/>
      <c r="D345" s="1181"/>
      <c r="E345" s="1181"/>
      <c r="F345" s="1181"/>
      <c r="G345" s="1181"/>
      <c r="H345" s="1181"/>
      <c r="I345" s="1181"/>
      <c r="J345" s="1181"/>
      <c r="K345" s="1181"/>
      <c r="L345" s="1181"/>
      <c r="M345" s="1181"/>
      <c r="N345" s="1181"/>
      <c r="O345" s="1181"/>
      <c r="P345" s="1183"/>
      <c r="Q345" s="2424"/>
      <c r="R345" s="1181"/>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81"/>
      <c r="C346" s="1181"/>
      <c r="D346" s="1181"/>
      <c r="E346" s="1181"/>
      <c r="F346" s="1181"/>
      <c r="G346" s="1181"/>
      <c r="H346" s="1181"/>
      <c r="I346" s="1181"/>
      <c r="J346" s="1181"/>
      <c r="K346" s="1181"/>
      <c r="L346" s="1181"/>
      <c r="M346" s="1181"/>
      <c r="N346" s="1181"/>
      <c r="O346" s="1181"/>
      <c r="P346" s="1183"/>
      <c r="Q346" s="2424"/>
      <c r="R346" s="1181"/>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81"/>
      <c r="C347" s="1181"/>
      <c r="D347" s="1181"/>
      <c r="E347" s="1181"/>
      <c r="F347" s="1181"/>
      <c r="G347" s="1181"/>
      <c r="H347" s="1181"/>
      <c r="I347" s="1181"/>
      <c r="J347" s="1181"/>
      <c r="K347" s="1181"/>
      <c r="L347" s="1181"/>
      <c r="M347" s="1181"/>
      <c r="N347" s="1181"/>
      <c r="O347" s="1181"/>
      <c r="P347" s="1183"/>
      <c r="Q347" s="2424"/>
      <c r="R347" s="1181"/>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81"/>
      <c r="C348" s="1181"/>
      <c r="D348" s="1181"/>
      <c r="E348" s="1181"/>
      <c r="F348" s="1181"/>
      <c r="G348" s="1181"/>
      <c r="H348" s="1181"/>
      <c r="I348" s="1181"/>
      <c r="J348" s="1181"/>
      <c r="K348" s="1181"/>
      <c r="L348" s="1181"/>
      <c r="M348" s="1181"/>
      <c r="N348" s="1181"/>
      <c r="O348" s="1181"/>
      <c r="P348" s="1183"/>
      <c r="Q348" s="2424"/>
      <c r="R348" s="1181"/>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81"/>
      <c r="C349" s="1181"/>
      <c r="D349" s="1181"/>
      <c r="E349" s="1181"/>
      <c r="F349" s="1181"/>
      <c r="G349" s="1181"/>
      <c r="H349" s="1181"/>
      <c r="I349" s="1181"/>
      <c r="J349" s="1181"/>
      <c r="K349" s="1181"/>
      <c r="L349" s="1181"/>
      <c r="M349" s="1181"/>
      <c r="N349" s="1181"/>
      <c r="O349" s="1181"/>
      <c r="P349" s="1183"/>
      <c r="Q349" s="2424"/>
      <c r="R349" s="1181"/>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81"/>
      <c r="C350" s="1181"/>
      <c r="D350" s="1181"/>
      <c r="E350" s="1181"/>
      <c r="F350" s="1181"/>
      <c r="G350" s="1181"/>
      <c r="H350" s="1181"/>
      <c r="I350" s="1181"/>
      <c r="J350" s="1181"/>
      <c r="K350" s="1181"/>
      <c r="L350" s="1181"/>
      <c r="M350" s="1181"/>
      <c r="N350" s="1181"/>
      <c r="O350" s="1181"/>
      <c r="P350" s="1183"/>
      <c r="Q350" s="2424"/>
      <c r="R350" s="1181"/>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81"/>
      <c r="C351" s="1181"/>
      <c r="D351" s="1181"/>
      <c r="E351" s="1181"/>
      <c r="F351" s="1181"/>
      <c r="G351" s="1181"/>
      <c r="H351" s="1181"/>
      <c r="I351" s="1181"/>
      <c r="J351" s="1181"/>
      <c r="K351" s="1181"/>
      <c r="L351" s="1181"/>
      <c r="M351" s="1181"/>
      <c r="N351" s="1181"/>
      <c r="O351" s="1181"/>
      <c r="P351" s="2426"/>
      <c r="Q351" s="2424"/>
      <c r="R351" s="1181"/>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81"/>
      <c r="C352" s="1181"/>
      <c r="D352" s="1181"/>
      <c r="E352" s="1181"/>
      <c r="F352" s="1181"/>
      <c r="G352" s="1181"/>
      <c r="H352" s="1181"/>
      <c r="I352" s="1181"/>
      <c r="J352" s="1181"/>
      <c r="K352" s="1181"/>
      <c r="L352" s="1181"/>
      <c r="M352" s="1181"/>
      <c r="N352" s="1181"/>
      <c r="O352" s="1181"/>
      <c r="P352" s="1183"/>
      <c r="Q352" s="2424"/>
      <c r="R352" s="1181"/>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81"/>
      <c r="C353" s="1181"/>
      <c r="D353" s="1181"/>
      <c r="E353" s="1181"/>
      <c r="F353" s="1181"/>
      <c r="G353" s="1181"/>
      <c r="H353" s="1181"/>
      <c r="I353" s="1181"/>
      <c r="J353" s="1181"/>
      <c r="K353" s="1181"/>
      <c r="L353" s="1181"/>
      <c r="M353" s="1181"/>
      <c r="N353" s="1181"/>
      <c r="O353" s="1181"/>
      <c r="P353" s="1183"/>
      <c r="Q353" s="2424"/>
      <c r="R353" s="1183"/>
      <c r="S353" s="2427"/>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81"/>
      <c r="C354" s="1181"/>
      <c r="D354" s="1181"/>
      <c r="E354" s="1181"/>
      <c r="F354" s="1181"/>
      <c r="G354" s="1181"/>
      <c r="H354" s="1181"/>
      <c r="I354" s="1181"/>
      <c r="J354" s="1181"/>
      <c r="K354" s="1181"/>
      <c r="L354" s="1181"/>
      <c r="M354" s="1181"/>
      <c r="N354" s="1181"/>
      <c r="O354" s="1181"/>
      <c r="P354" s="1183"/>
      <c r="Q354" s="2424"/>
      <c r="R354" s="1183"/>
      <c r="S354" s="2427"/>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81"/>
      <c r="C355" s="1181"/>
      <c r="D355" s="1181"/>
      <c r="E355" s="1181"/>
      <c r="F355" s="1181"/>
      <c r="G355" s="1181"/>
      <c r="H355" s="1181"/>
      <c r="I355" s="1181"/>
      <c r="J355" s="1181"/>
      <c r="K355" s="1181"/>
      <c r="L355" s="1181"/>
      <c r="M355" s="1181"/>
      <c r="N355" s="1181"/>
      <c r="O355" s="1181"/>
      <c r="P355" s="1183"/>
      <c r="Q355" s="2424"/>
      <c r="R355" s="1183"/>
      <c r="S355" s="2427"/>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81"/>
      <c r="C356" s="1181"/>
      <c r="D356" s="1181"/>
      <c r="E356" s="1181"/>
      <c r="F356" s="1181"/>
      <c r="G356" s="1181"/>
      <c r="H356" s="1181"/>
      <c r="I356" s="1181"/>
      <c r="J356" s="1181"/>
      <c r="K356" s="1181"/>
      <c r="L356" s="1181"/>
      <c r="M356" s="1181"/>
      <c r="N356" s="1181"/>
      <c r="O356" s="1181"/>
      <c r="P356" s="1183"/>
      <c r="Q356" s="1181"/>
      <c r="R356" s="1183"/>
      <c r="S356" s="2427"/>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81"/>
      <c r="C357" s="1181"/>
      <c r="D357" s="1181"/>
      <c r="E357" s="1181"/>
      <c r="F357" s="1181"/>
      <c r="G357" s="1181"/>
      <c r="H357" s="1181"/>
      <c r="I357" s="1181"/>
      <c r="J357" s="1181"/>
      <c r="K357" s="1181"/>
      <c r="L357" s="1181"/>
      <c r="M357" s="1181"/>
      <c r="N357" s="1181"/>
      <c r="O357" s="1181"/>
      <c r="P357" s="2426"/>
      <c r="Q357" s="1181"/>
      <c r="R357" s="1183"/>
      <c r="S357" s="2427"/>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81"/>
      <c r="C358" s="1181"/>
      <c r="D358" s="1181"/>
      <c r="E358" s="1181"/>
      <c r="F358" s="1181"/>
      <c r="G358" s="1181"/>
      <c r="H358" s="1181"/>
      <c r="I358" s="1181"/>
      <c r="J358" s="1181"/>
      <c r="K358" s="1181"/>
      <c r="L358" s="1181"/>
      <c r="M358" s="1181"/>
      <c r="N358" s="1181"/>
      <c r="O358" s="1181"/>
      <c r="P358" s="1183"/>
      <c r="Q358" s="1181"/>
      <c r="R358" s="1183"/>
      <c r="S358" s="2427"/>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81"/>
      <c r="C359" s="1181"/>
      <c r="D359" s="1181"/>
      <c r="E359" s="1181"/>
      <c r="F359" s="1181"/>
      <c r="G359" s="1181"/>
      <c r="H359" s="1181"/>
      <c r="I359" s="1181"/>
      <c r="J359" s="1181"/>
      <c r="K359" s="1181"/>
      <c r="L359" s="1181"/>
      <c r="M359" s="1181"/>
      <c r="N359" s="1181"/>
      <c r="O359" s="1181"/>
      <c r="P359" s="1183"/>
      <c r="Q359" s="1181"/>
      <c r="R359" s="1183"/>
      <c r="S359" s="2427"/>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81"/>
      <c r="C360" s="1181"/>
      <c r="D360" s="1181"/>
      <c r="E360" s="1181"/>
      <c r="F360" s="1181"/>
      <c r="G360" s="1181"/>
      <c r="H360" s="1181"/>
      <c r="I360" s="1181"/>
      <c r="J360" s="1181"/>
      <c r="K360" s="1181"/>
      <c r="L360" s="1181"/>
      <c r="M360" s="1181"/>
      <c r="N360" s="1181"/>
      <c r="O360" s="1181"/>
      <c r="P360" s="1183"/>
      <c r="Q360" s="1181"/>
      <c r="R360" s="1181"/>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81"/>
      <c r="C361" s="1181"/>
      <c r="D361" s="1181"/>
      <c r="E361" s="1181"/>
      <c r="F361" s="1181"/>
      <c r="G361" s="1181"/>
      <c r="H361" s="1181"/>
      <c r="I361" s="1181"/>
      <c r="J361" s="1181"/>
      <c r="K361" s="1181"/>
      <c r="L361" s="1181"/>
      <c r="M361" s="1181"/>
      <c r="N361" s="1181"/>
      <c r="O361" s="1181"/>
      <c r="P361" s="1183"/>
      <c r="Q361" s="1181"/>
      <c r="R361" s="1181"/>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81"/>
      <c r="C362" s="1181"/>
      <c r="D362" s="1181"/>
      <c r="E362" s="1181"/>
      <c r="F362" s="1181"/>
      <c r="G362" s="1181"/>
      <c r="H362" s="1181"/>
      <c r="I362" s="1181"/>
      <c r="J362" s="1181"/>
      <c r="K362" s="1181"/>
      <c r="L362" s="1181"/>
      <c r="M362" s="1181"/>
      <c r="N362" s="1181"/>
      <c r="O362" s="1181"/>
      <c r="P362" s="1183"/>
      <c r="Q362" s="1181"/>
      <c r="R362" s="1181"/>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81"/>
      <c r="C363" s="1181"/>
      <c r="D363" s="1181"/>
      <c r="E363" s="1181"/>
      <c r="F363" s="1181"/>
      <c r="G363" s="1181"/>
      <c r="H363" s="1181"/>
      <c r="I363" s="1181"/>
      <c r="J363" s="1181"/>
      <c r="K363" s="1181"/>
      <c r="L363" s="1181"/>
      <c r="M363" s="1181"/>
      <c r="N363" s="1181"/>
      <c r="O363" s="1181"/>
      <c r="P363" s="1183"/>
      <c r="Q363" s="1181"/>
      <c r="R363" s="1181"/>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81"/>
      <c r="C364" s="1181"/>
      <c r="D364" s="1181"/>
      <c r="E364" s="1181"/>
      <c r="F364" s="1181"/>
      <c r="G364" s="1181"/>
      <c r="H364" s="1181"/>
      <c r="I364" s="1181"/>
      <c r="J364" s="1181"/>
      <c r="K364" s="1181"/>
      <c r="L364" s="1181"/>
      <c r="M364" s="1181"/>
      <c r="N364" s="1181"/>
      <c r="O364" s="1181"/>
      <c r="P364" s="2426"/>
      <c r="Q364" s="1181"/>
      <c r="R364" s="1181"/>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81"/>
      <c r="C365" s="1181"/>
      <c r="D365" s="1181"/>
      <c r="E365" s="1181"/>
      <c r="F365" s="1181"/>
      <c r="G365" s="1181"/>
      <c r="H365" s="1181"/>
      <c r="I365" s="1181"/>
      <c r="J365" s="1181"/>
      <c r="K365" s="1181"/>
      <c r="L365" s="1181"/>
      <c r="M365" s="1181"/>
      <c r="N365" s="1181"/>
      <c r="O365" s="1181"/>
      <c r="P365" s="1183"/>
      <c r="Q365" s="1181"/>
      <c r="R365" s="1181"/>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81"/>
      <c r="C366" s="1181"/>
      <c r="D366" s="1181"/>
      <c r="E366" s="1181"/>
      <c r="F366" s="1181"/>
      <c r="G366" s="1181"/>
      <c r="H366" s="1181"/>
      <c r="I366" s="1181"/>
      <c r="J366" s="1181"/>
      <c r="K366" s="1181"/>
      <c r="L366" s="1181"/>
      <c r="M366" s="1181"/>
      <c r="N366" s="1181"/>
      <c r="O366" s="1181"/>
      <c r="P366" s="1183"/>
      <c r="Q366" s="1181"/>
      <c r="R366" s="1181"/>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81"/>
      <c r="C367" s="1181"/>
      <c r="D367" s="1181"/>
      <c r="E367" s="1181"/>
      <c r="F367" s="1181"/>
      <c r="G367" s="1181"/>
      <c r="H367" s="1181"/>
      <c r="I367" s="1181"/>
      <c r="J367" s="1181"/>
      <c r="K367" s="1181"/>
      <c r="L367" s="1181"/>
      <c r="M367" s="1181"/>
      <c r="N367" s="1181"/>
      <c r="O367" s="1181"/>
      <c r="P367" s="1183"/>
      <c r="Q367" s="1181"/>
      <c r="R367" s="1181"/>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81"/>
      <c r="C368" s="1181"/>
      <c r="D368" s="1181"/>
      <c r="E368" s="1181"/>
      <c r="F368" s="1181"/>
      <c r="G368" s="1181"/>
      <c r="H368" s="1181"/>
      <c r="I368" s="1181"/>
      <c r="J368" s="1181"/>
      <c r="K368" s="1181"/>
      <c r="L368" s="1181"/>
      <c r="M368" s="1181"/>
      <c r="N368" s="1181"/>
      <c r="O368" s="1181"/>
      <c r="P368" s="1183"/>
      <c r="Q368" s="1181"/>
      <c r="R368" s="1181"/>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81"/>
      <c r="C369" s="1181"/>
      <c r="D369" s="1181"/>
      <c r="E369" s="1181"/>
      <c r="F369" s="1181"/>
      <c r="G369" s="1181"/>
      <c r="H369" s="1181"/>
      <c r="I369" s="1181"/>
      <c r="J369" s="1181"/>
      <c r="K369" s="1181"/>
      <c r="L369" s="1181"/>
      <c r="M369" s="1181"/>
      <c r="N369" s="1181"/>
      <c r="O369" s="1181"/>
      <c r="P369" s="1183"/>
      <c r="Q369" s="1181"/>
      <c r="R369" s="1181"/>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81"/>
      <c r="C370" s="1181"/>
      <c r="D370" s="1181"/>
      <c r="E370" s="1181"/>
      <c r="F370" s="1181"/>
      <c r="G370" s="1181"/>
      <c r="H370" s="1181"/>
      <c r="I370" s="1181"/>
      <c r="J370" s="1181"/>
      <c r="K370" s="1181"/>
      <c r="L370" s="1181"/>
      <c r="M370" s="1181"/>
      <c r="N370" s="1181"/>
      <c r="O370" s="1181"/>
      <c r="P370" s="1183"/>
      <c r="Q370" s="1181"/>
      <c r="R370" s="1181"/>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81"/>
      <c r="C371" s="1181"/>
      <c r="D371" s="1181"/>
      <c r="E371" s="1181"/>
      <c r="F371" s="1181"/>
      <c r="G371" s="1181"/>
      <c r="H371" s="1181"/>
      <c r="I371" s="1181"/>
      <c r="J371" s="1181"/>
      <c r="K371" s="1181"/>
      <c r="L371" s="1181"/>
      <c r="M371" s="1181"/>
      <c r="N371" s="1181"/>
      <c r="O371" s="1181"/>
      <c r="P371" s="1182"/>
      <c r="Q371" s="1181"/>
      <c r="R371" s="1181"/>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81"/>
      <c r="C372" s="1181"/>
      <c r="D372" s="1181"/>
      <c r="E372" s="1181"/>
      <c r="F372" s="1181"/>
      <c r="G372" s="1181"/>
      <c r="H372" s="1181"/>
      <c r="I372" s="1181"/>
      <c r="J372" s="1181"/>
      <c r="K372" s="1181"/>
      <c r="L372" s="1181"/>
      <c r="M372" s="1181"/>
      <c r="N372" s="1181"/>
      <c r="O372" s="1181"/>
      <c r="P372" s="2426"/>
      <c r="Q372" s="1181"/>
      <c r="R372" s="1181"/>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81"/>
      <c r="C373" s="1181"/>
      <c r="D373" s="1181"/>
      <c r="E373" s="1181"/>
      <c r="F373" s="1181"/>
      <c r="G373" s="1181"/>
      <c r="H373" s="1181"/>
      <c r="I373" s="1181"/>
      <c r="J373" s="1181"/>
      <c r="K373" s="1181"/>
      <c r="L373" s="1181"/>
      <c r="M373" s="1181"/>
      <c r="N373" s="1181"/>
      <c r="O373" s="1181"/>
      <c r="P373" s="2426"/>
      <c r="Q373" s="1181"/>
      <c r="R373" s="1181"/>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81"/>
      <c r="C374" s="1181"/>
      <c r="D374" s="1181"/>
      <c r="E374" s="1181"/>
      <c r="F374" s="1181"/>
      <c r="G374" s="1181"/>
      <c r="H374" s="1181"/>
      <c r="I374" s="1181"/>
      <c r="J374" s="1181"/>
      <c r="K374" s="1181"/>
      <c r="L374" s="1181"/>
      <c r="M374" s="1181"/>
      <c r="N374" s="1181"/>
      <c r="O374" s="1181"/>
      <c r="P374" s="1182"/>
      <c r="Q374" s="1181"/>
      <c r="R374" s="1181"/>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81"/>
      <c r="C375" s="1181"/>
      <c r="D375" s="1181"/>
      <c r="E375" s="1181"/>
      <c r="F375" s="1181"/>
      <c r="G375" s="1181"/>
      <c r="H375" s="1181"/>
      <c r="I375" s="1181"/>
      <c r="J375" s="1181"/>
      <c r="K375" s="1181"/>
      <c r="L375" s="1181"/>
      <c r="M375" s="1181"/>
      <c r="N375" s="1181"/>
      <c r="O375" s="1181"/>
      <c r="P375" s="1182"/>
      <c r="Q375" s="1181"/>
      <c r="R375" s="1181"/>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81"/>
      <c r="C376" s="1181"/>
      <c r="D376" s="1181"/>
      <c r="E376" s="1181"/>
      <c r="F376" s="1181"/>
      <c r="G376" s="1181"/>
      <c r="H376" s="1181"/>
      <c r="I376" s="1181"/>
      <c r="J376" s="1181"/>
      <c r="K376" s="1181"/>
      <c r="L376" s="1181"/>
      <c r="M376" s="1181"/>
      <c r="N376" s="1181"/>
      <c r="O376" s="1181"/>
      <c r="P376" s="1182"/>
      <c r="Q376" s="1181"/>
      <c r="R376" s="1181"/>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81"/>
      <c r="C377" s="1181"/>
      <c r="D377" s="1181"/>
      <c r="E377" s="1181"/>
      <c r="F377" s="1181"/>
      <c r="G377" s="1181"/>
      <c r="H377" s="1181"/>
      <c r="I377" s="1181"/>
      <c r="J377" s="1181"/>
      <c r="K377" s="1181"/>
      <c r="L377" s="1181"/>
      <c r="M377" s="1181"/>
      <c r="N377" s="1181"/>
      <c r="O377" s="1181"/>
      <c r="P377" s="1182"/>
      <c r="Q377" s="1181"/>
      <c r="R377" s="1181"/>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81"/>
      <c r="C378" s="1181"/>
      <c r="D378" s="1181"/>
      <c r="E378" s="1181"/>
      <c r="F378" s="1181"/>
      <c r="G378" s="1181"/>
      <c r="H378" s="1181"/>
      <c r="I378" s="1181"/>
      <c r="J378" s="1181"/>
      <c r="K378" s="1181"/>
      <c r="L378" s="1181"/>
      <c r="M378" s="1181"/>
      <c r="N378" s="1181"/>
      <c r="O378" s="1181"/>
      <c r="P378" s="1182"/>
      <c r="Q378" s="1181"/>
      <c r="R378" s="1181"/>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81"/>
      <c r="C379" s="1181"/>
      <c r="D379" s="1181"/>
      <c r="E379" s="1181"/>
      <c r="F379" s="1181"/>
      <c r="G379" s="1181"/>
      <c r="H379" s="1181"/>
      <c r="I379" s="1181"/>
      <c r="J379" s="1181"/>
      <c r="K379" s="1181"/>
      <c r="L379" s="1181"/>
      <c r="M379" s="1181"/>
      <c r="N379" s="1181"/>
      <c r="O379" s="1181"/>
      <c r="P379" s="1182"/>
      <c r="Q379" s="1181"/>
      <c r="R379" s="1181"/>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81"/>
      <c r="C380" s="1181"/>
      <c r="D380" s="1181"/>
      <c r="E380" s="1181"/>
      <c r="F380" s="1181"/>
      <c r="G380" s="1181"/>
      <c r="H380" s="1181"/>
      <c r="I380" s="1181"/>
      <c r="J380" s="1181"/>
      <c r="K380" s="1181"/>
      <c r="L380" s="1181"/>
      <c r="M380" s="1181"/>
      <c r="N380" s="1181"/>
      <c r="O380" s="1181"/>
      <c r="P380" s="1182"/>
      <c r="Q380" s="1181"/>
      <c r="R380" s="1181"/>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81"/>
      <c r="C381" s="1181"/>
      <c r="D381" s="1181"/>
      <c r="E381" s="1181"/>
      <c r="F381" s="1181"/>
      <c r="G381" s="1181"/>
      <c r="H381" s="1181"/>
      <c r="I381" s="1181"/>
      <c r="J381" s="1181"/>
      <c r="K381" s="1181"/>
      <c r="L381" s="1181"/>
      <c r="M381" s="1181"/>
      <c r="N381" s="1181"/>
      <c r="O381" s="1181"/>
      <c r="P381" s="1182"/>
      <c r="Q381" s="1181"/>
      <c r="R381" s="1181"/>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81"/>
      <c r="C382" s="1181"/>
      <c r="D382" s="1181"/>
      <c r="E382" s="1181"/>
      <c r="F382" s="1181"/>
      <c r="G382" s="1181"/>
      <c r="H382" s="1181"/>
      <c r="I382" s="1181"/>
      <c r="J382" s="1181"/>
      <c r="K382" s="1181"/>
      <c r="L382" s="1181"/>
      <c r="M382" s="1181"/>
      <c r="N382" s="1181"/>
      <c r="O382" s="1181"/>
      <c r="P382" s="1182"/>
      <c r="Q382" s="1181"/>
      <c r="R382" s="1181"/>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81"/>
      <c r="C383" s="1181"/>
      <c r="D383" s="1181"/>
      <c r="E383" s="1181"/>
      <c r="F383" s="1181"/>
      <c r="G383" s="1181"/>
      <c r="H383" s="1181"/>
      <c r="I383" s="1181"/>
      <c r="J383" s="1181"/>
      <c r="K383" s="1181"/>
      <c r="L383" s="1181"/>
      <c r="M383" s="1181"/>
      <c r="N383" s="1181"/>
      <c r="O383" s="1181"/>
      <c r="P383" s="1182"/>
      <c r="Q383" s="1181"/>
      <c r="R383" s="1181"/>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81"/>
      <c r="C384" s="1181"/>
      <c r="D384" s="1181"/>
      <c r="E384" s="1181"/>
      <c r="F384" s="1181"/>
      <c r="G384" s="1181"/>
      <c r="H384" s="1181"/>
      <c r="I384" s="1181"/>
      <c r="J384" s="1181"/>
      <c r="K384" s="1181"/>
      <c r="L384" s="1181"/>
      <c r="M384" s="1181"/>
      <c r="N384" s="1181"/>
      <c r="O384" s="1181"/>
      <c r="P384" s="1182"/>
      <c r="Q384" s="1181"/>
      <c r="R384" s="1181"/>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81"/>
      <c r="C385" s="1181"/>
      <c r="D385" s="1181"/>
      <c r="E385" s="1181"/>
      <c r="F385" s="1181"/>
      <c r="G385" s="1181"/>
      <c r="H385" s="1181"/>
      <c r="I385" s="1181"/>
      <c r="J385" s="1181"/>
      <c r="K385" s="1181"/>
      <c r="L385" s="1181"/>
      <c r="M385" s="1181"/>
      <c r="N385" s="1181"/>
      <c r="O385" s="1181"/>
      <c r="P385" s="1182"/>
      <c r="Q385" s="1181"/>
      <c r="R385" s="1181"/>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81"/>
      <c r="C386" s="1181"/>
      <c r="D386" s="1181"/>
      <c r="E386" s="1181"/>
      <c r="F386" s="1181"/>
      <c r="G386" s="1181"/>
      <c r="H386" s="1181"/>
      <c r="I386" s="1181"/>
      <c r="J386" s="1181"/>
      <c r="K386" s="1181"/>
      <c r="L386" s="1181"/>
      <c r="M386" s="1181"/>
      <c r="N386" s="1181"/>
      <c r="O386" s="1181"/>
      <c r="P386" s="1182"/>
      <c r="Q386" s="1181"/>
      <c r="R386" s="1181"/>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81"/>
      <c r="C387" s="1181"/>
      <c r="D387" s="1181"/>
      <c r="E387" s="1181"/>
      <c r="F387" s="1181"/>
      <c r="G387" s="1181"/>
      <c r="H387" s="1181"/>
      <c r="I387" s="1181"/>
      <c r="J387" s="1181"/>
      <c r="K387" s="1181"/>
      <c r="L387" s="1181"/>
      <c r="M387" s="1181"/>
      <c r="N387" s="1181"/>
      <c r="O387" s="1181"/>
      <c r="P387" s="1182"/>
      <c r="Q387" s="1181"/>
      <c r="R387" s="1181"/>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81"/>
      <c r="C388" s="1181"/>
      <c r="D388" s="1181"/>
      <c r="E388" s="1181"/>
      <c r="F388" s="1181"/>
      <c r="G388" s="1181"/>
      <c r="H388" s="1181"/>
      <c r="I388" s="1181"/>
      <c r="J388" s="1181"/>
      <c r="K388" s="1181"/>
      <c r="L388" s="1181"/>
      <c r="M388" s="1181"/>
      <c r="N388" s="1181"/>
      <c r="O388" s="1181"/>
      <c r="P388" s="2426"/>
      <c r="Q388" s="1181"/>
      <c r="R388" s="1181"/>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81"/>
      <c r="C389" s="1181"/>
      <c r="D389" s="1181"/>
      <c r="E389" s="1181"/>
      <c r="F389" s="1181"/>
      <c r="G389" s="1181"/>
      <c r="H389" s="1181"/>
      <c r="I389" s="1181"/>
      <c r="J389" s="1181"/>
      <c r="K389" s="1181"/>
      <c r="L389" s="1181"/>
      <c r="M389" s="1181"/>
      <c r="N389" s="1181"/>
      <c r="O389" s="1181"/>
      <c r="P389" s="2426"/>
      <c r="Q389" s="1181"/>
      <c r="R389" s="1181"/>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81"/>
      <c r="C390" s="1181"/>
      <c r="D390" s="1181"/>
      <c r="E390" s="1181"/>
      <c r="F390" s="1181"/>
      <c r="G390" s="1181"/>
      <c r="H390" s="1181"/>
      <c r="I390" s="1181"/>
      <c r="J390" s="1181"/>
      <c r="K390" s="1181"/>
      <c r="L390" s="1181"/>
      <c r="M390" s="1181"/>
      <c r="N390" s="1181"/>
      <c r="O390" s="1181"/>
      <c r="P390" s="2426"/>
      <c r="Q390" s="1181"/>
      <c r="R390" s="1181"/>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81"/>
      <c r="C391" s="1181"/>
      <c r="D391" s="1181"/>
      <c r="E391" s="1181"/>
      <c r="F391" s="1181"/>
      <c r="G391" s="1181"/>
      <c r="H391" s="1181"/>
      <c r="I391" s="1181"/>
      <c r="J391" s="1181"/>
      <c r="K391" s="1181"/>
      <c r="L391" s="1181"/>
      <c r="M391" s="1181"/>
      <c r="N391" s="1181"/>
      <c r="O391" s="1181"/>
      <c r="P391" s="1182"/>
      <c r="Q391" s="1181"/>
      <c r="R391" s="1181"/>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81"/>
      <c r="C392" s="1181"/>
      <c r="D392" s="1181"/>
      <c r="E392" s="1181"/>
      <c r="F392" s="1181"/>
      <c r="G392" s="1181"/>
      <c r="H392" s="1181"/>
      <c r="I392" s="1181"/>
      <c r="J392" s="1181"/>
      <c r="K392" s="1181"/>
      <c r="L392" s="1181"/>
      <c r="M392" s="1181"/>
      <c r="N392" s="1181"/>
      <c r="O392" s="1181"/>
      <c r="P392" s="1182"/>
      <c r="Q392" s="1181"/>
      <c r="R392" s="1181"/>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81"/>
      <c r="C393" s="1181"/>
      <c r="D393" s="1181"/>
      <c r="E393" s="1181"/>
      <c r="F393" s="1181"/>
      <c r="G393" s="1181"/>
      <c r="H393" s="1181"/>
      <c r="I393" s="1181"/>
      <c r="J393" s="1181"/>
      <c r="K393" s="1181"/>
      <c r="L393" s="1181"/>
      <c r="M393" s="1181"/>
      <c r="N393" s="1181"/>
      <c r="O393" s="1181"/>
      <c r="P393" s="2426"/>
      <c r="Q393" s="1181"/>
      <c r="R393" s="1181"/>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81"/>
      <c r="C394" s="1181"/>
      <c r="D394" s="1181"/>
      <c r="E394" s="1181"/>
      <c r="F394" s="1181"/>
      <c r="G394" s="1181"/>
      <c r="H394" s="1181"/>
      <c r="I394" s="1181"/>
      <c r="J394" s="1181"/>
      <c r="K394" s="1181"/>
      <c r="L394" s="1181"/>
      <c r="M394" s="1181"/>
      <c r="N394" s="1181"/>
      <c r="O394" s="1181"/>
      <c r="P394" s="1182"/>
      <c r="Q394" s="1181"/>
      <c r="R394" s="1181"/>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81"/>
      <c r="C395" s="1181"/>
      <c r="D395" s="1181"/>
      <c r="E395" s="1181"/>
      <c r="F395" s="1181"/>
      <c r="G395" s="1181"/>
      <c r="H395" s="1181"/>
      <c r="I395" s="1181"/>
      <c r="J395" s="1181"/>
      <c r="K395" s="1181"/>
      <c r="L395" s="1181"/>
      <c r="M395" s="1181"/>
      <c r="N395" s="1181"/>
      <c r="O395" s="1181"/>
      <c r="P395" s="1182"/>
      <c r="Q395" s="1181"/>
      <c r="R395" s="1181"/>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81"/>
      <c r="C396" s="1181"/>
      <c r="D396" s="1181"/>
      <c r="E396" s="1181"/>
      <c r="F396" s="1181"/>
      <c r="G396" s="1181"/>
      <c r="H396" s="1181"/>
      <c r="I396" s="1181"/>
      <c r="J396" s="1181"/>
      <c r="K396" s="1181"/>
      <c r="L396" s="1181"/>
      <c r="M396" s="1181"/>
      <c r="N396" s="1181"/>
      <c r="O396" s="1181"/>
      <c r="P396" s="1182"/>
      <c r="Q396" s="1181"/>
      <c r="R396" s="1181"/>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81"/>
      <c r="C397" s="1181"/>
      <c r="D397" s="1181"/>
      <c r="E397" s="1181"/>
      <c r="F397" s="1181"/>
      <c r="G397" s="1181"/>
      <c r="H397" s="1181"/>
      <c r="I397" s="1181"/>
      <c r="J397" s="1181"/>
      <c r="K397" s="1181"/>
      <c r="L397" s="1181"/>
      <c r="M397" s="1181"/>
      <c r="N397" s="1181"/>
      <c r="O397" s="1181"/>
      <c r="P397" s="1182"/>
      <c r="Q397" s="1181"/>
      <c r="R397" s="1181"/>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81"/>
      <c r="C398" s="1181"/>
      <c r="D398" s="1181"/>
      <c r="E398" s="1181"/>
      <c r="F398" s="1181"/>
      <c r="G398" s="1181"/>
      <c r="H398" s="1181"/>
      <c r="I398" s="1181"/>
      <c r="J398" s="1181"/>
      <c r="K398" s="1181"/>
      <c r="L398" s="1181"/>
      <c r="M398" s="1181"/>
      <c r="N398" s="1181"/>
      <c r="O398" s="1181"/>
      <c r="P398" s="1182"/>
      <c r="Q398" s="1181"/>
      <c r="R398" s="1181"/>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81"/>
      <c r="C399" s="1181"/>
      <c r="D399" s="1181"/>
      <c r="E399" s="1181"/>
      <c r="F399" s="1181"/>
      <c r="G399" s="1181"/>
      <c r="H399" s="1181"/>
      <c r="I399" s="1181"/>
      <c r="J399" s="1181"/>
      <c r="K399" s="1181"/>
      <c r="L399" s="1181"/>
      <c r="M399" s="1181"/>
      <c r="N399" s="1181"/>
      <c r="O399" s="1181"/>
      <c r="P399" s="1182"/>
      <c r="Q399" s="1181"/>
      <c r="R399" s="1181"/>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81"/>
      <c r="C400" s="1181"/>
      <c r="D400" s="1181"/>
      <c r="E400" s="1181"/>
      <c r="F400" s="1181"/>
      <c r="G400" s="1181"/>
      <c r="H400" s="1181"/>
      <c r="I400" s="1181"/>
      <c r="J400" s="1181"/>
      <c r="K400" s="1181"/>
      <c r="L400" s="1181"/>
      <c r="M400" s="1181"/>
      <c r="N400" s="1181"/>
      <c r="O400" s="1181"/>
      <c r="P400" s="1182"/>
      <c r="Q400" s="1181"/>
      <c r="R400" s="1181"/>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81"/>
      <c r="C401" s="1181"/>
      <c r="D401" s="1181"/>
      <c r="E401" s="1181"/>
      <c r="F401" s="1181"/>
      <c r="G401" s="1181"/>
      <c r="H401" s="1181"/>
      <c r="I401" s="1181"/>
      <c r="J401" s="1181"/>
      <c r="K401" s="1181"/>
      <c r="L401" s="1181"/>
      <c r="M401" s="1181"/>
      <c r="N401" s="1181"/>
      <c r="O401" s="1181"/>
      <c r="P401" s="1182"/>
      <c r="Q401" s="1181"/>
      <c r="R401" s="1181"/>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81"/>
      <c r="C402" s="1181"/>
      <c r="D402" s="1181"/>
      <c r="E402" s="1181"/>
      <c r="F402" s="1181"/>
      <c r="G402" s="1181"/>
      <c r="H402" s="1181"/>
      <c r="I402" s="1181"/>
      <c r="J402" s="1181"/>
      <c r="K402" s="1181"/>
      <c r="L402" s="1181"/>
      <c r="M402" s="1181"/>
      <c r="N402" s="1181"/>
      <c r="O402" s="1181"/>
      <c r="P402" s="1182"/>
      <c r="Q402" s="1181"/>
      <c r="R402" s="1181"/>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81"/>
      <c r="C403" s="1181"/>
      <c r="D403" s="1181"/>
      <c r="E403" s="1181"/>
      <c r="F403" s="1181"/>
      <c r="G403" s="1181"/>
      <c r="H403" s="1181"/>
      <c r="I403" s="1181"/>
      <c r="J403" s="1181"/>
      <c r="K403" s="1181"/>
      <c r="L403" s="1181"/>
      <c r="M403" s="1181"/>
      <c r="N403" s="1181"/>
      <c r="O403" s="1181"/>
      <c r="P403" s="1182"/>
      <c r="Q403" s="1181"/>
      <c r="R403" s="1181"/>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81"/>
      <c r="C404" s="1181"/>
      <c r="D404" s="1181"/>
      <c r="E404" s="1181"/>
      <c r="F404" s="1181"/>
      <c r="G404" s="1181"/>
      <c r="H404" s="1181"/>
      <c r="I404" s="1181"/>
      <c r="J404" s="1181"/>
      <c r="K404" s="1181"/>
      <c r="L404" s="1181"/>
      <c r="M404" s="1181"/>
      <c r="N404" s="1181"/>
      <c r="O404" s="1181"/>
      <c r="P404" s="1182"/>
      <c r="Q404" s="1181"/>
      <c r="R404" s="1181"/>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81"/>
      <c r="C405" s="1181"/>
      <c r="D405" s="1181"/>
      <c r="E405" s="1181"/>
      <c r="F405" s="1181"/>
      <c r="G405" s="1181"/>
      <c r="H405" s="1181"/>
      <c r="I405" s="1181"/>
      <c r="J405" s="1181"/>
      <c r="K405" s="1181"/>
      <c r="L405" s="1181"/>
      <c r="M405" s="1181"/>
      <c r="N405" s="1181"/>
      <c r="O405" s="1181"/>
      <c r="P405" s="2426"/>
      <c r="Q405" s="1181"/>
      <c r="R405" s="1181"/>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81"/>
      <c r="C406" s="1181"/>
      <c r="D406" s="1181"/>
      <c r="E406" s="1181"/>
      <c r="F406" s="1181"/>
      <c r="G406" s="1181"/>
      <c r="H406" s="1181"/>
      <c r="I406" s="1181"/>
      <c r="J406" s="1181"/>
      <c r="K406" s="1181"/>
      <c r="L406" s="1181"/>
      <c r="M406" s="1181"/>
      <c r="N406" s="1181"/>
      <c r="O406" s="1181"/>
      <c r="P406" s="1182"/>
      <c r="Q406" s="1181"/>
      <c r="R406" s="1181"/>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81"/>
      <c r="C407" s="1181"/>
      <c r="D407" s="1181"/>
      <c r="E407" s="1181"/>
      <c r="F407" s="1181"/>
      <c r="G407" s="1181"/>
      <c r="H407" s="1181"/>
      <c r="I407" s="1181"/>
      <c r="J407" s="1181"/>
      <c r="K407" s="1181"/>
      <c r="L407" s="1181"/>
      <c r="M407" s="1181"/>
      <c r="N407" s="1181"/>
      <c r="O407" s="1181"/>
      <c r="P407" s="1182"/>
      <c r="Q407" s="1181"/>
      <c r="R407" s="1181"/>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81"/>
      <c r="C408" s="1181"/>
      <c r="D408" s="1181"/>
      <c r="E408" s="1181"/>
      <c r="F408" s="1181"/>
      <c r="G408" s="1181"/>
      <c r="H408" s="1181"/>
      <c r="I408" s="1181"/>
      <c r="J408" s="1181"/>
      <c r="K408" s="1181"/>
      <c r="L408" s="1181"/>
      <c r="M408" s="1181"/>
      <c r="N408" s="1181"/>
      <c r="O408" s="1181"/>
      <c r="P408" s="1182"/>
      <c r="Q408" s="1181"/>
      <c r="R408" s="1181"/>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81"/>
      <c r="C409" s="1181"/>
      <c r="D409" s="1181"/>
      <c r="E409" s="1181"/>
      <c r="F409" s="1181"/>
      <c r="G409" s="1181"/>
      <c r="H409" s="1181"/>
      <c r="I409" s="1181"/>
      <c r="J409" s="1181"/>
      <c r="K409" s="1181"/>
      <c r="L409" s="1181"/>
      <c r="M409" s="1181"/>
      <c r="N409" s="1181"/>
      <c r="O409" s="1181"/>
      <c r="P409" s="1182"/>
      <c r="Q409" s="1181"/>
      <c r="R409" s="1181"/>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81"/>
      <c r="C410" s="1181"/>
      <c r="D410" s="1181"/>
      <c r="E410" s="1181"/>
      <c r="F410" s="1181"/>
      <c r="G410" s="1181"/>
      <c r="H410" s="1181"/>
      <c r="I410" s="1181"/>
      <c r="J410" s="1181"/>
      <c r="K410" s="1181"/>
      <c r="L410" s="1181"/>
      <c r="M410" s="1181"/>
      <c r="N410" s="1181"/>
      <c r="O410" s="1181"/>
      <c r="P410" s="1182"/>
      <c r="Q410" s="1181"/>
      <c r="R410" s="1181"/>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81"/>
      <c r="C411" s="1181"/>
      <c r="D411" s="1181"/>
      <c r="E411" s="1181"/>
      <c r="F411" s="1181"/>
      <c r="G411" s="1181"/>
      <c r="H411" s="1181"/>
      <c r="I411" s="1181"/>
      <c r="J411" s="1181"/>
      <c r="K411" s="1181"/>
      <c r="L411" s="1181"/>
      <c r="M411" s="1181"/>
      <c r="N411" s="1181"/>
      <c r="O411" s="1181"/>
      <c r="P411" s="1182"/>
      <c r="Q411" s="1181"/>
      <c r="R411" s="1181"/>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2428"/>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2429"/>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2429"/>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2429"/>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2429"/>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2429"/>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2429"/>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2429"/>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2429"/>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2429"/>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2429"/>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2429"/>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2428"/>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2428"/>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2429"/>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2429"/>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2428"/>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2429"/>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2429"/>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2429"/>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2428"/>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2429"/>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2429"/>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2429"/>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2428"/>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2429"/>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2427" t="s">
        <v>95</v>
      </c>
      <c r="S613" s="2427" t="s">
        <v>97</v>
      </c>
      <c r="T613" s="2427"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2427" t="s">
        <v>2578</v>
      </c>
      <c r="S614" s="2427" t="s">
        <v>634</v>
      </c>
      <c r="T614" s="2430" t="s">
        <v>2157</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2429"/>
      <c r="R615" s="2427" t="s">
        <v>2579</v>
      </c>
      <c r="S615" s="2427" t="s">
        <v>321</v>
      </c>
      <c r="T615" s="2430" t="s">
        <v>2157</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2427" t="s">
        <v>2580</v>
      </c>
      <c r="S616" s="2427" t="s">
        <v>2499</v>
      </c>
      <c r="T616" s="2430" t="s">
        <v>2157</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2427" t="s">
        <v>2581</v>
      </c>
      <c r="S617" s="2427"/>
      <c r="T617" s="2430" t="s">
        <v>2157</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2427" t="s">
        <v>2582</v>
      </c>
      <c r="S618" s="2427" t="s">
        <v>2023</v>
      </c>
      <c r="T618" s="2430" t="s">
        <v>2157</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2427" t="s">
        <v>2583</v>
      </c>
      <c r="S619" s="2427" t="s">
        <v>2499</v>
      </c>
      <c r="T619" s="2430" t="s">
        <v>2157</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2427" t="s">
        <v>2584</v>
      </c>
      <c r="S620" s="2427" t="s">
        <v>1339</v>
      </c>
      <c r="T620" s="2430" t="s">
        <v>2157</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2427" t="s">
        <v>2585</v>
      </c>
      <c r="S621" s="2427" t="s">
        <v>2025</v>
      </c>
      <c r="T621" s="2430" t="s">
        <v>2157</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2427" t="s">
        <v>2586</v>
      </c>
      <c r="S622" s="2427" t="s">
        <v>672</v>
      </c>
      <c r="T622" s="2430" t="s">
        <v>2157</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2427" t="s">
        <v>2587</v>
      </c>
      <c r="S623" s="2427" t="s">
        <v>634</v>
      </c>
      <c r="T623" s="2430" t="s">
        <v>2157</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2427" t="s">
        <v>2588</v>
      </c>
      <c r="S624" s="2427" t="s">
        <v>2188</v>
      </c>
      <c r="T624" s="2430" t="s">
        <v>2157</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2427" t="s">
        <v>2589</v>
      </c>
      <c r="S625" s="2427" t="s">
        <v>2548</v>
      </c>
      <c r="T625" s="2430" t="s">
        <v>2157</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2427" t="s">
        <v>2260</v>
      </c>
      <c r="S626" s="2427" t="s">
        <v>2545</v>
      </c>
      <c r="T626" s="2430" t="s">
        <v>2157</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2427" t="s">
        <v>2590</v>
      </c>
      <c r="S627" s="2427" t="s">
        <v>2188</v>
      </c>
      <c r="T627" s="2430" t="s">
        <v>2157</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2427" t="s">
        <v>2591</v>
      </c>
      <c r="S628" s="2427" t="s">
        <v>2502</v>
      </c>
      <c r="T628" s="2430" t="s">
        <v>2157</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2428"/>
      <c r="R629" s="2427" t="s">
        <v>2592</v>
      </c>
      <c r="S629" s="2427" t="s">
        <v>2023</v>
      </c>
      <c r="T629" s="2430" t="s">
        <v>2157</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2427" t="s">
        <v>1055</v>
      </c>
      <c r="S630" s="2427" t="s">
        <v>1468</v>
      </c>
      <c r="T630" s="2430" t="s">
        <v>2157</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2429"/>
      <c r="R631" s="2427" t="s">
        <v>913</v>
      </c>
      <c r="S631" s="2427" t="s">
        <v>1113</v>
      </c>
      <c r="T631" s="2430" t="s">
        <v>2157</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2427" t="s">
        <v>1056</v>
      </c>
      <c r="S632" s="2427" t="s">
        <v>634</v>
      </c>
      <c r="T632" s="2430" t="s">
        <v>2157</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2427" t="s">
        <v>1057</v>
      </c>
      <c r="S633" s="2427" t="s">
        <v>1926</v>
      </c>
      <c r="T633" s="2430" t="s">
        <v>2157</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2429"/>
      <c r="R634" s="2427" t="s">
        <v>1058</v>
      </c>
      <c r="S634" s="2427" t="s">
        <v>2021</v>
      </c>
      <c r="T634" s="2430" t="s">
        <v>2157</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2427" t="s">
        <v>1059</v>
      </c>
      <c r="S635" s="2427" t="s">
        <v>1106</v>
      </c>
      <c r="T635" s="2430" t="s">
        <v>2157</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2431"/>
      <c r="R636" s="2427" t="s">
        <v>1060</v>
      </c>
      <c r="S636" s="2427" t="s">
        <v>1532</v>
      </c>
      <c r="T636" s="2430" t="s">
        <v>2157</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2427" t="s">
        <v>1061</v>
      </c>
      <c r="S637" s="2427" t="s">
        <v>2499</v>
      </c>
      <c r="T637" s="2430" t="s">
        <v>2157</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2429"/>
      <c r="R638" s="2427" t="s">
        <v>1062</v>
      </c>
      <c r="S638" s="2427" t="s">
        <v>160</v>
      </c>
      <c r="T638" s="2430" t="s">
        <v>2157</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2429"/>
      <c r="R639" s="2427" t="s">
        <v>1063</v>
      </c>
      <c r="S639" s="2427" t="s">
        <v>1346</v>
      </c>
      <c r="T639" s="2430" t="s">
        <v>2157</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2427" t="s">
        <v>1064</v>
      </c>
      <c r="S640" s="2427" t="s">
        <v>1532</v>
      </c>
      <c r="T640" s="2430" t="s">
        <v>2157</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2427" t="s">
        <v>1065</v>
      </c>
      <c r="S641" s="2427" t="s">
        <v>1120</v>
      </c>
      <c r="T641" s="2430" t="s">
        <v>2157</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2427" t="s">
        <v>1066</v>
      </c>
      <c r="S642" s="2427" t="s">
        <v>2021</v>
      </c>
      <c r="T642" s="2430" t="s">
        <v>2157</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836</v>
      </c>
      <c r="S643" s="507" t="s">
        <v>882</v>
      </c>
      <c r="T643" s="2430" t="s">
        <v>2157</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2427" t="s">
        <v>1067</v>
      </c>
      <c r="S644" s="2427" t="s">
        <v>2502</v>
      </c>
      <c r="T644" s="2430" t="s">
        <v>2157</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2427" t="s">
        <v>1619</v>
      </c>
      <c r="S645" s="2427" t="s">
        <v>2545</v>
      </c>
      <c r="T645" s="2430" t="s">
        <v>2157</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2427" t="s">
        <v>1068</v>
      </c>
      <c r="S646" s="2427"/>
      <c r="T646" s="2430" t="s">
        <v>2157</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2427" t="s">
        <v>185</v>
      </c>
      <c r="S647" s="2427" t="s">
        <v>160</v>
      </c>
      <c r="T647" s="2430" t="s">
        <v>2157</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2427" t="s">
        <v>1069</v>
      </c>
      <c r="S648" s="2427" t="s">
        <v>176</v>
      </c>
      <c r="T648" s="2430" t="s">
        <v>2157</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2427" t="s">
        <v>2301</v>
      </c>
      <c r="S649" s="2427" t="s">
        <v>1218</v>
      </c>
      <c r="T649" s="2430" t="s">
        <v>2157</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2427" t="s">
        <v>1070</v>
      </c>
      <c r="S650" s="2427" t="s">
        <v>634</v>
      </c>
      <c r="T650" s="2430" t="s">
        <v>2157</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2427" t="s">
        <v>1071</v>
      </c>
      <c r="S651" s="2427" t="s">
        <v>634</v>
      </c>
      <c r="T651" s="2430" t="s">
        <v>2157</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2427" t="s">
        <v>1072</v>
      </c>
      <c r="S652" s="2427" t="s">
        <v>634</v>
      </c>
      <c r="T652" s="2430" t="s">
        <v>2157</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2427" t="s">
        <v>1073</v>
      </c>
      <c r="S653" s="2427" t="s">
        <v>634</v>
      </c>
      <c r="T653" s="2430" t="s">
        <v>2157</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2427" t="s">
        <v>1074</v>
      </c>
      <c r="S654" s="2427" t="s">
        <v>1681</v>
      </c>
      <c r="T654" s="2430" t="s">
        <v>2157</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2427" t="s">
        <v>1075</v>
      </c>
      <c r="S655" s="2427" t="s">
        <v>964</v>
      </c>
      <c r="T655" s="2430" t="s">
        <v>2157</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2427" t="s">
        <v>1076</v>
      </c>
      <c r="S656" s="2427" t="s">
        <v>123</v>
      </c>
      <c r="T656" s="2430" t="s">
        <v>2157</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2429"/>
      <c r="R657" s="2427" t="s">
        <v>1077</v>
      </c>
      <c r="S657" s="2427" t="s">
        <v>634</v>
      </c>
      <c r="T657" s="2430" t="s">
        <v>2157</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2427" t="s">
        <v>1078</v>
      </c>
      <c r="S658" s="2427" t="s">
        <v>318</v>
      </c>
      <c r="T658" s="2430" t="s">
        <v>2157</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2427" t="s">
        <v>1079</v>
      </c>
      <c r="S659" s="2427" t="s">
        <v>322</v>
      </c>
      <c r="T659" s="2430" t="s">
        <v>2157</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2427" t="s">
        <v>840</v>
      </c>
      <c r="S660" s="2427" t="s">
        <v>1325</v>
      </c>
      <c r="T660" s="2430" t="s">
        <v>2157</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2427" t="s">
        <v>1080</v>
      </c>
      <c r="S661" s="2427" t="s">
        <v>672</v>
      </c>
      <c r="T661" s="2430" t="s">
        <v>2157</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2427" t="s">
        <v>1081</v>
      </c>
      <c r="S662" s="2427" t="s">
        <v>1532</v>
      </c>
      <c r="T662" s="2430" t="s">
        <v>2157</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2427" t="s">
        <v>1082</v>
      </c>
      <c r="S663" s="2427" t="s">
        <v>634</v>
      </c>
      <c r="T663" s="2430" t="s">
        <v>2157</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2427" t="s">
        <v>1083</v>
      </c>
      <c r="S664" s="2427" t="s">
        <v>664</v>
      </c>
      <c r="T664" s="2430" t="s">
        <v>2157</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2427" t="s">
        <v>1084</v>
      </c>
      <c r="S665" s="2427" t="s">
        <v>160</v>
      </c>
      <c r="T665" s="2430" t="s">
        <v>2157</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2428"/>
      <c r="R666" s="2427" t="s">
        <v>1085</v>
      </c>
      <c r="S666" s="2427" t="s">
        <v>1926</v>
      </c>
      <c r="T666" s="2430" t="s">
        <v>2157</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2429"/>
      <c r="R667" s="2427" t="s">
        <v>1086</v>
      </c>
      <c r="S667" s="2427" t="s">
        <v>2021</v>
      </c>
      <c r="T667" s="2430" t="s">
        <v>2157</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2427" t="s">
        <v>1087</v>
      </c>
      <c r="S668" s="2427" t="s">
        <v>634</v>
      </c>
      <c r="T668" s="2430" t="s">
        <v>2157</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2427" t="s">
        <v>1088</v>
      </c>
      <c r="S669" s="2427" t="s">
        <v>1681</v>
      </c>
      <c r="T669" s="2430" t="s">
        <v>2157</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2429"/>
      <c r="R670" s="2427" t="s">
        <v>1089</v>
      </c>
      <c r="S670" s="2427" t="s">
        <v>2502</v>
      </c>
      <c r="T670" s="2430" t="s">
        <v>2157</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2427" t="s">
        <v>1090</v>
      </c>
      <c r="S671" s="2427" t="s">
        <v>160</v>
      </c>
      <c r="T671" s="2430" t="s">
        <v>2157</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2427" t="s">
        <v>1091</v>
      </c>
      <c r="S672" s="2427" t="s">
        <v>160</v>
      </c>
      <c r="T672" s="2430" t="s">
        <v>2157</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2429"/>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2429"/>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2429"/>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2429"/>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2429"/>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2429"/>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2431"/>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2428"/>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2429"/>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2429"/>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2428"/>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2429"/>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2428"/>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2429"/>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2429"/>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1xaaNppkopLGjwRYj4CKuoryKWacqq1HrKKmV5TpneLj8bGHSKDK5/NzqWm5163HueW95CGWYOHF3bWAPDi/uw==" saltValue="P4ZtXOtypC1PYn92FDsjkA==" spinCount="100000" sheet="1" formatRows="0"/>
  <mergeCells count="172">
    <mergeCell ref="H182:I182"/>
    <mergeCell ref="H183:I183"/>
    <mergeCell ref="Q186:U187"/>
    <mergeCell ref="L170:M170"/>
    <mergeCell ref="L171:M171"/>
    <mergeCell ref="N175:O175"/>
    <mergeCell ref="O177:P177"/>
    <mergeCell ref="O178:P178"/>
    <mergeCell ref="H181:I181"/>
    <mergeCell ref="A186:L186"/>
    <mergeCell ref="M186:P186"/>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F49:G49"/>
    <mergeCell ref="I49:K49"/>
    <mergeCell ref="M49:P49"/>
    <mergeCell ref="H78:I78"/>
    <mergeCell ref="K78:L78"/>
    <mergeCell ref="F46:K46"/>
    <mergeCell ref="M46:P46"/>
    <mergeCell ref="F47:H47"/>
    <mergeCell ref="J47:K47"/>
    <mergeCell ref="F48:K48"/>
    <mergeCell ref="M48:P48"/>
    <mergeCell ref="K74:P76"/>
    <mergeCell ref="M78:P78"/>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G37:H37"/>
    <mergeCell ref="J37:K37"/>
    <mergeCell ref="O37:P37"/>
    <mergeCell ref="F38:H38"/>
    <mergeCell ref="J38:K38"/>
    <mergeCell ref="O38:P38"/>
    <mergeCell ref="F34:K34"/>
    <mergeCell ref="O34:P34"/>
    <mergeCell ref="F35:K35"/>
    <mergeCell ref="O35:P35"/>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L108 J23 O23:O24 J29 O29:O30"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80" customWidth="1"/>
    <col min="2" max="4" width="10.7109375" style="580" customWidth="1"/>
    <col min="5" max="5" width="15.85546875" style="580" customWidth="1"/>
    <col min="6" max="8" width="10.7109375" style="580" customWidth="1"/>
    <col min="9" max="16384" width="9.140625" style="580"/>
  </cols>
  <sheetData>
    <row r="1" spans="1:8" ht="21.95" customHeight="1">
      <c r="B1" s="3639" t="str">
        <f>Overview!C8</f>
        <v>Tindall Fields III</v>
      </c>
      <c r="C1" s="3639"/>
      <c r="D1" s="3639"/>
      <c r="E1" s="3639"/>
      <c r="F1" s="3639"/>
      <c r="G1" s="3639"/>
      <c r="H1" s="1441"/>
    </row>
    <row r="2" spans="1:8" ht="21.95" customHeight="1">
      <c r="A2" s="1469"/>
      <c r="B2" s="1469"/>
      <c r="C2" s="1469"/>
      <c r="D2" s="1469"/>
      <c r="E2" s="1469"/>
      <c r="F2" s="1469"/>
      <c r="G2" s="1469"/>
      <c r="H2" s="1469"/>
    </row>
    <row r="3" spans="1:8" ht="20.25" customHeight="1">
      <c r="C3" s="3638" t="s">
        <v>3097</v>
      </c>
      <c r="D3" s="3638"/>
      <c r="E3" s="3638"/>
      <c r="F3" s="3638"/>
    </row>
    <row r="5" spans="1:8" ht="15.75">
      <c r="D5" s="1402"/>
      <c r="E5" s="1402" t="s">
        <v>3098</v>
      </c>
    </row>
    <row r="6" spans="1:8" ht="15.75">
      <c r="D6" s="1442" t="s">
        <v>2496</v>
      </c>
      <c r="E6" s="1442" t="s">
        <v>3099</v>
      </c>
    </row>
    <row r="7" spans="1:8" ht="15">
      <c r="D7" s="1403"/>
      <c r="E7" s="1403"/>
    </row>
    <row r="8" spans="1:8" ht="21" customHeight="1">
      <c r="D8" s="1404">
        <v>1</v>
      </c>
      <c r="E8" s="1405">
        <f>-'Part VII-Pro Forma'!B23/12</f>
        <v>5174.6726176434877</v>
      </c>
    </row>
    <row r="9" spans="1:8" ht="21" customHeight="1">
      <c r="D9" s="1404">
        <v>2</v>
      </c>
      <c r="E9" s="1405">
        <f>-'Part VII-Pro Forma'!C23/12</f>
        <v>5174.6726176434877</v>
      </c>
    </row>
    <row r="10" spans="1:8" ht="21" customHeight="1">
      <c r="D10" s="1404">
        <v>3</v>
      </c>
      <c r="E10" s="1405">
        <f>-'Part VII-Pro Forma'!D23/12</f>
        <v>5174.6726176434877</v>
      </c>
    </row>
    <row r="11" spans="1:8" ht="21" customHeight="1">
      <c r="D11" s="1406">
        <v>4</v>
      </c>
      <c r="E11" s="1405">
        <f>-'Part VII-Pro Forma'!E23/12</f>
        <v>5174.6726176434877</v>
      </c>
    </row>
    <row r="12" spans="1:8" ht="21" customHeight="1">
      <c r="D12" s="1406">
        <v>5</v>
      </c>
      <c r="E12" s="1405">
        <f>-'Part VII-Pro Forma'!F23/12</f>
        <v>5174.6726176434877</v>
      </c>
    </row>
    <row r="13" spans="1:8" ht="21" customHeight="1">
      <c r="D13" s="1404">
        <v>6</v>
      </c>
      <c r="E13" s="1405">
        <f>-'Part VII-Pro Forma'!G23/12</f>
        <v>5174.6726176434877</v>
      </c>
    </row>
    <row r="14" spans="1:8" ht="21" customHeight="1">
      <c r="D14" s="1404">
        <v>7</v>
      </c>
      <c r="E14" s="1405">
        <f>-'Part VII-Pro Forma'!H23/12</f>
        <v>5174.6726176434877</v>
      </c>
    </row>
    <row r="15" spans="1:8" ht="21" customHeight="1">
      <c r="D15" s="1406">
        <v>8</v>
      </c>
      <c r="E15" s="1405">
        <f>-'Part VII-Pro Forma'!I23/12</f>
        <v>5174.6726176434877</v>
      </c>
    </row>
    <row r="16" spans="1:8" ht="21" customHeight="1">
      <c r="D16" s="1404">
        <v>9</v>
      </c>
      <c r="E16" s="1405">
        <f>-'Part VII-Pro Forma'!J23/12</f>
        <v>5174.6726176434877</v>
      </c>
    </row>
    <row r="17" spans="4:8" ht="21" customHeight="1">
      <c r="D17" s="1404">
        <v>10</v>
      </c>
      <c r="E17" s="1405">
        <f>-'Part VII-Pro Forma'!K23/12</f>
        <v>5174.6726176434877</v>
      </c>
    </row>
    <row r="18" spans="4:8" ht="21" customHeight="1">
      <c r="D18" s="1406">
        <v>11</v>
      </c>
      <c r="E18" s="1405">
        <f>-'Part VII-Pro Forma'!B53/12</f>
        <v>5174.6726176434877</v>
      </c>
    </row>
    <row r="19" spans="4:8" ht="21" customHeight="1">
      <c r="D19" s="1404">
        <v>12</v>
      </c>
      <c r="E19" s="1405">
        <f>-'Part VII-Pro Forma'!C53/12</f>
        <v>5174.6726176434877</v>
      </c>
    </row>
    <row r="20" spans="4:8" ht="21" customHeight="1">
      <c r="D20" s="1404">
        <v>13</v>
      </c>
      <c r="E20" s="1405">
        <f>-'Part VII-Pro Forma'!D53/12</f>
        <v>5174.6726176434877</v>
      </c>
    </row>
    <row r="21" spans="4:8" ht="21" customHeight="1">
      <c r="D21" s="1404">
        <v>14</v>
      </c>
      <c r="E21" s="1405">
        <f>-'Part VII-Pro Forma'!E53/12</f>
        <v>5174.6726176434877</v>
      </c>
    </row>
    <row r="22" spans="4:8" ht="21" customHeight="1">
      <c r="D22" s="1404">
        <v>15</v>
      </c>
      <c r="E22" s="1405">
        <f>-'Part VII-Pro Forma'!F53/12</f>
        <v>5174.6726176434877</v>
      </c>
    </row>
    <row r="23" spans="4:8" ht="21" customHeight="1">
      <c r="D23" s="1404">
        <v>16</v>
      </c>
      <c r="E23" s="1405">
        <f>-'Part VII-Pro Forma'!G53/12</f>
        <v>5174.6726176434877</v>
      </c>
    </row>
    <row r="24" spans="4:8" ht="21" customHeight="1">
      <c r="D24" s="1404">
        <v>17</v>
      </c>
      <c r="E24" s="1405">
        <f>-'Part VII-Pro Forma'!H53/12</f>
        <v>5174.6726176434877</v>
      </c>
      <c r="H24" s="580" t="s">
        <v>245</v>
      </c>
    </row>
    <row r="25" spans="4:8" ht="21" customHeight="1">
      <c r="D25" s="1404">
        <v>18</v>
      </c>
      <c r="E25" s="1405">
        <f>-'Part VII-Pro Forma'!I53/12</f>
        <v>5174.6726176434877</v>
      </c>
    </row>
    <row r="26" spans="4:8" ht="21" customHeight="1">
      <c r="D26" s="1404">
        <v>19</v>
      </c>
      <c r="E26" s="1405">
        <f>-'Part VII-Pro Forma'!J53/12</f>
        <v>5174.6726176434877</v>
      </c>
    </row>
    <row r="27" spans="4:8" ht="21" customHeight="1">
      <c r="D27" s="1404">
        <v>20</v>
      </c>
      <c r="E27" s="1405">
        <f>-'Part VII-Pro Forma'!K53/12</f>
        <v>5174.6726176434877</v>
      </c>
    </row>
    <row r="28" spans="4:8" ht="21" customHeight="1">
      <c r="D28" s="1404">
        <v>21</v>
      </c>
      <c r="E28" s="1405">
        <f>-'Part VII-Pro Forma'!B83/12</f>
        <v>5174.6726176434877</v>
      </c>
    </row>
    <row r="29" spans="4:8" ht="21" customHeight="1">
      <c r="D29" s="1404">
        <v>22</v>
      </c>
      <c r="E29" s="1405">
        <f>-'Part VII-Pro Forma'!C83/12</f>
        <v>5174.6726176434877</v>
      </c>
    </row>
    <row r="30" spans="4:8" ht="21" customHeight="1">
      <c r="D30" s="1404">
        <v>23</v>
      </c>
      <c r="E30" s="1405">
        <f>-'Part VII-Pro Forma'!D83/12</f>
        <v>5174.6726176434877</v>
      </c>
    </row>
    <row r="31" spans="4:8" ht="21" customHeight="1">
      <c r="D31" s="1404">
        <v>24</v>
      </c>
      <c r="E31" s="1405">
        <f>-'Part VII-Pro Forma'!E83/12</f>
        <v>5174.6726176434877</v>
      </c>
    </row>
    <row r="32" spans="4:8" ht="21" customHeight="1">
      <c r="D32" s="1404">
        <v>25</v>
      </c>
      <c r="E32" s="1405">
        <f>-'Part VII-Pro Forma'!F83/12</f>
        <v>5174.6726176434877</v>
      </c>
    </row>
    <row r="33" spans="5:5" ht="15">
      <c r="E33" s="140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809" customWidth="1"/>
    <col min="2" max="2" width="10.140625" style="809" customWidth="1"/>
    <col min="3" max="3" width="11.7109375" style="809" customWidth="1"/>
    <col min="4" max="4" width="8.5703125" style="809" customWidth="1"/>
    <col min="5" max="5" width="13.7109375" style="809" customWidth="1"/>
    <col min="6" max="6" width="2.7109375" style="809" customWidth="1"/>
    <col min="7" max="7" width="11.7109375" style="809" customWidth="1"/>
    <col min="8" max="8" width="8.5703125" style="809" customWidth="1"/>
    <col min="9" max="9" width="13.7109375" style="809" customWidth="1"/>
    <col min="10" max="10" width="4.7109375" style="809" customWidth="1"/>
    <col min="11" max="11" width="25.7109375" style="809" customWidth="1"/>
    <col min="12" max="256" width="8.85546875" style="809"/>
    <col min="257" max="257" width="11.5703125" style="809" bestFit="1" customWidth="1"/>
    <col min="258" max="258" width="12.5703125" style="809" customWidth="1"/>
    <col min="259" max="259" width="10.28515625" style="809" customWidth="1"/>
    <col min="260" max="260" width="14.7109375" style="809" customWidth="1"/>
    <col min="261" max="261" width="13.28515625" style="809" bestFit="1" customWidth="1"/>
    <col min="262" max="262" width="4.85546875" style="809" customWidth="1"/>
    <col min="263" max="263" width="11.7109375" style="809" customWidth="1"/>
    <col min="264" max="264" width="12" style="809" customWidth="1"/>
    <col min="265" max="265" width="9.7109375" style="809" customWidth="1"/>
    <col min="266" max="266" width="13.7109375" style="809" bestFit="1" customWidth="1"/>
    <col min="267" max="512" width="8.85546875" style="809"/>
    <col min="513" max="513" width="11.5703125" style="809" bestFit="1" customWidth="1"/>
    <col min="514" max="514" width="12.5703125" style="809" customWidth="1"/>
    <col min="515" max="515" width="10.28515625" style="809" customWidth="1"/>
    <col min="516" max="516" width="14.7109375" style="809" customWidth="1"/>
    <col min="517" max="517" width="13.28515625" style="809" bestFit="1" customWidth="1"/>
    <col min="518" max="518" width="4.85546875" style="809" customWidth="1"/>
    <col min="519" max="519" width="11.7109375" style="809" customWidth="1"/>
    <col min="520" max="520" width="12" style="809" customWidth="1"/>
    <col min="521" max="521" width="9.7109375" style="809" customWidth="1"/>
    <col min="522" max="522" width="13.7109375" style="809" bestFit="1" customWidth="1"/>
    <col min="523" max="768" width="8.85546875" style="809"/>
    <col min="769" max="769" width="11.5703125" style="809" bestFit="1" customWidth="1"/>
    <col min="770" max="770" width="12.5703125" style="809" customWidth="1"/>
    <col min="771" max="771" width="10.28515625" style="809" customWidth="1"/>
    <col min="772" max="772" width="14.7109375" style="809" customWidth="1"/>
    <col min="773" max="773" width="13.28515625" style="809" bestFit="1" customWidth="1"/>
    <col min="774" max="774" width="4.85546875" style="809" customWidth="1"/>
    <col min="775" max="775" width="11.7109375" style="809" customWidth="1"/>
    <col min="776" max="776" width="12" style="809" customWidth="1"/>
    <col min="777" max="777" width="9.7109375" style="809" customWidth="1"/>
    <col min="778" max="778" width="13.7109375" style="809" bestFit="1" customWidth="1"/>
    <col min="779" max="1024" width="8.85546875" style="809"/>
    <col min="1025" max="1025" width="11.5703125" style="809" bestFit="1" customWidth="1"/>
    <col min="1026" max="1026" width="12.5703125" style="809" customWidth="1"/>
    <col min="1027" max="1027" width="10.28515625" style="809" customWidth="1"/>
    <col min="1028" max="1028" width="14.7109375" style="809" customWidth="1"/>
    <col min="1029" max="1029" width="13.28515625" style="809" bestFit="1" customWidth="1"/>
    <col min="1030" max="1030" width="4.85546875" style="809" customWidth="1"/>
    <col min="1031" max="1031" width="11.7109375" style="809" customWidth="1"/>
    <col min="1032" max="1032" width="12" style="809" customWidth="1"/>
    <col min="1033" max="1033" width="9.7109375" style="809" customWidth="1"/>
    <col min="1034" max="1034" width="13.7109375" style="809" bestFit="1" customWidth="1"/>
    <col min="1035" max="1280" width="8.85546875" style="809"/>
    <col min="1281" max="1281" width="11.5703125" style="809" bestFit="1" customWidth="1"/>
    <col min="1282" max="1282" width="12.5703125" style="809" customWidth="1"/>
    <col min="1283" max="1283" width="10.28515625" style="809" customWidth="1"/>
    <col min="1284" max="1284" width="14.7109375" style="809" customWidth="1"/>
    <col min="1285" max="1285" width="13.28515625" style="809" bestFit="1" customWidth="1"/>
    <col min="1286" max="1286" width="4.85546875" style="809" customWidth="1"/>
    <col min="1287" max="1287" width="11.7109375" style="809" customWidth="1"/>
    <col min="1288" max="1288" width="12" style="809" customWidth="1"/>
    <col min="1289" max="1289" width="9.7109375" style="809" customWidth="1"/>
    <col min="1290" max="1290" width="13.7109375" style="809" bestFit="1" customWidth="1"/>
    <col min="1291" max="1536" width="8.85546875" style="809"/>
    <col min="1537" max="1537" width="11.5703125" style="809" bestFit="1" customWidth="1"/>
    <col min="1538" max="1538" width="12.5703125" style="809" customWidth="1"/>
    <col min="1539" max="1539" width="10.28515625" style="809" customWidth="1"/>
    <col min="1540" max="1540" width="14.7109375" style="809" customWidth="1"/>
    <col min="1541" max="1541" width="13.28515625" style="809" bestFit="1" customWidth="1"/>
    <col min="1542" max="1542" width="4.85546875" style="809" customWidth="1"/>
    <col min="1543" max="1543" width="11.7109375" style="809" customWidth="1"/>
    <col min="1544" max="1544" width="12" style="809" customWidth="1"/>
    <col min="1545" max="1545" width="9.7109375" style="809" customWidth="1"/>
    <col min="1546" max="1546" width="13.7109375" style="809" bestFit="1" customWidth="1"/>
    <col min="1547" max="1792" width="8.85546875" style="809"/>
    <col min="1793" max="1793" width="11.5703125" style="809" bestFit="1" customWidth="1"/>
    <col min="1794" max="1794" width="12.5703125" style="809" customWidth="1"/>
    <col min="1795" max="1795" width="10.28515625" style="809" customWidth="1"/>
    <col min="1796" max="1796" width="14.7109375" style="809" customWidth="1"/>
    <col min="1797" max="1797" width="13.28515625" style="809" bestFit="1" customWidth="1"/>
    <col min="1798" max="1798" width="4.85546875" style="809" customWidth="1"/>
    <col min="1799" max="1799" width="11.7109375" style="809" customWidth="1"/>
    <col min="1800" max="1800" width="12" style="809" customWidth="1"/>
    <col min="1801" max="1801" width="9.7109375" style="809" customWidth="1"/>
    <col min="1802" max="1802" width="13.7109375" style="809" bestFit="1" customWidth="1"/>
    <col min="1803" max="2048" width="8.85546875" style="809"/>
    <col min="2049" max="2049" width="11.5703125" style="809" bestFit="1" customWidth="1"/>
    <col min="2050" max="2050" width="12.5703125" style="809" customWidth="1"/>
    <col min="2051" max="2051" width="10.28515625" style="809" customWidth="1"/>
    <col min="2052" max="2052" width="14.7109375" style="809" customWidth="1"/>
    <col min="2053" max="2053" width="13.28515625" style="809" bestFit="1" customWidth="1"/>
    <col min="2054" max="2054" width="4.85546875" style="809" customWidth="1"/>
    <col min="2055" max="2055" width="11.7109375" style="809" customWidth="1"/>
    <col min="2056" max="2056" width="12" style="809" customWidth="1"/>
    <col min="2057" max="2057" width="9.7109375" style="809" customWidth="1"/>
    <col min="2058" max="2058" width="13.7109375" style="809" bestFit="1" customWidth="1"/>
    <col min="2059" max="2304" width="8.85546875" style="809"/>
    <col min="2305" max="2305" width="11.5703125" style="809" bestFit="1" customWidth="1"/>
    <col min="2306" max="2306" width="12.5703125" style="809" customWidth="1"/>
    <col min="2307" max="2307" width="10.28515625" style="809" customWidth="1"/>
    <col min="2308" max="2308" width="14.7109375" style="809" customWidth="1"/>
    <col min="2309" max="2309" width="13.28515625" style="809" bestFit="1" customWidth="1"/>
    <col min="2310" max="2310" width="4.85546875" style="809" customWidth="1"/>
    <col min="2311" max="2311" width="11.7109375" style="809" customWidth="1"/>
    <col min="2312" max="2312" width="12" style="809" customWidth="1"/>
    <col min="2313" max="2313" width="9.7109375" style="809" customWidth="1"/>
    <col min="2314" max="2314" width="13.7109375" style="809" bestFit="1" customWidth="1"/>
    <col min="2315" max="2560" width="8.85546875" style="809"/>
    <col min="2561" max="2561" width="11.5703125" style="809" bestFit="1" customWidth="1"/>
    <col min="2562" max="2562" width="12.5703125" style="809" customWidth="1"/>
    <col min="2563" max="2563" width="10.28515625" style="809" customWidth="1"/>
    <col min="2564" max="2564" width="14.7109375" style="809" customWidth="1"/>
    <col min="2565" max="2565" width="13.28515625" style="809" bestFit="1" customWidth="1"/>
    <col min="2566" max="2566" width="4.85546875" style="809" customWidth="1"/>
    <col min="2567" max="2567" width="11.7109375" style="809" customWidth="1"/>
    <col min="2568" max="2568" width="12" style="809" customWidth="1"/>
    <col min="2569" max="2569" width="9.7109375" style="809" customWidth="1"/>
    <col min="2570" max="2570" width="13.7109375" style="809" bestFit="1" customWidth="1"/>
    <col min="2571" max="2816" width="8.85546875" style="809"/>
    <col min="2817" max="2817" width="11.5703125" style="809" bestFit="1" customWidth="1"/>
    <col min="2818" max="2818" width="12.5703125" style="809" customWidth="1"/>
    <col min="2819" max="2819" width="10.28515625" style="809" customWidth="1"/>
    <col min="2820" max="2820" width="14.7109375" style="809" customWidth="1"/>
    <col min="2821" max="2821" width="13.28515625" style="809" bestFit="1" customWidth="1"/>
    <col min="2822" max="2822" width="4.85546875" style="809" customWidth="1"/>
    <col min="2823" max="2823" width="11.7109375" style="809" customWidth="1"/>
    <col min="2824" max="2824" width="12" style="809" customWidth="1"/>
    <col min="2825" max="2825" width="9.7109375" style="809" customWidth="1"/>
    <col min="2826" max="2826" width="13.7109375" style="809" bestFit="1" customWidth="1"/>
    <col min="2827" max="3072" width="8.85546875" style="809"/>
    <col min="3073" max="3073" width="11.5703125" style="809" bestFit="1" customWidth="1"/>
    <col min="3074" max="3074" width="12.5703125" style="809" customWidth="1"/>
    <col min="3075" max="3075" width="10.28515625" style="809" customWidth="1"/>
    <col min="3076" max="3076" width="14.7109375" style="809" customWidth="1"/>
    <col min="3077" max="3077" width="13.28515625" style="809" bestFit="1" customWidth="1"/>
    <col min="3078" max="3078" width="4.85546875" style="809" customWidth="1"/>
    <col min="3079" max="3079" width="11.7109375" style="809" customWidth="1"/>
    <col min="3080" max="3080" width="12" style="809" customWidth="1"/>
    <col min="3081" max="3081" width="9.7109375" style="809" customWidth="1"/>
    <col min="3082" max="3082" width="13.7109375" style="809" bestFit="1" customWidth="1"/>
    <col min="3083" max="3328" width="8.85546875" style="809"/>
    <col min="3329" max="3329" width="11.5703125" style="809" bestFit="1" customWidth="1"/>
    <col min="3330" max="3330" width="12.5703125" style="809" customWidth="1"/>
    <col min="3331" max="3331" width="10.28515625" style="809" customWidth="1"/>
    <col min="3332" max="3332" width="14.7109375" style="809" customWidth="1"/>
    <col min="3333" max="3333" width="13.28515625" style="809" bestFit="1" customWidth="1"/>
    <col min="3334" max="3334" width="4.85546875" style="809" customWidth="1"/>
    <col min="3335" max="3335" width="11.7109375" style="809" customWidth="1"/>
    <col min="3336" max="3336" width="12" style="809" customWidth="1"/>
    <col min="3337" max="3337" width="9.7109375" style="809" customWidth="1"/>
    <col min="3338" max="3338" width="13.7109375" style="809" bestFit="1" customWidth="1"/>
    <col min="3339" max="3584" width="8.85546875" style="809"/>
    <col min="3585" max="3585" width="11.5703125" style="809" bestFit="1" customWidth="1"/>
    <col min="3586" max="3586" width="12.5703125" style="809" customWidth="1"/>
    <col min="3587" max="3587" width="10.28515625" style="809" customWidth="1"/>
    <col min="3588" max="3588" width="14.7109375" style="809" customWidth="1"/>
    <col min="3589" max="3589" width="13.28515625" style="809" bestFit="1" customWidth="1"/>
    <col min="3590" max="3590" width="4.85546875" style="809" customWidth="1"/>
    <col min="3591" max="3591" width="11.7109375" style="809" customWidth="1"/>
    <col min="3592" max="3592" width="12" style="809" customWidth="1"/>
    <col min="3593" max="3593" width="9.7109375" style="809" customWidth="1"/>
    <col min="3594" max="3594" width="13.7109375" style="809" bestFit="1" customWidth="1"/>
    <col min="3595" max="3840" width="8.85546875" style="809"/>
    <col min="3841" max="3841" width="11.5703125" style="809" bestFit="1" customWidth="1"/>
    <col min="3842" max="3842" width="12.5703125" style="809" customWidth="1"/>
    <col min="3843" max="3843" width="10.28515625" style="809" customWidth="1"/>
    <col min="3844" max="3844" width="14.7109375" style="809" customWidth="1"/>
    <col min="3845" max="3845" width="13.28515625" style="809" bestFit="1" customWidth="1"/>
    <col min="3846" max="3846" width="4.85546875" style="809" customWidth="1"/>
    <col min="3847" max="3847" width="11.7109375" style="809" customWidth="1"/>
    <col min="3848" max="3848" width="12" style="809" customWidth="1"/>
    <col min="3849" max="3849" width="9.7109375" style="809" customWidth="1"/>
    <col min="3850" max="3850" width="13.7109375" style="809" bestFit="1" customWidth="1"/>
    <col min="3851" max="4096" width="8.85546875" style="809"/>
    <col min="4097" max="4097" width="11.5703125" style="809" bestFit="1" customWidth="1"/>
    <col min="4098" max="4098" width="12.5703125" style="809" customWidth="1"/>
    <col min="4099" max="4099" width="10.28515625" style="809" customWidth="1"/>
    <col min="4100" max="4100" width="14.7109375" style="809" customWidth="1"/>
    <col min="4101" max="4101" width="13.28515625" style="809" bestFit="1" customWidth="1"/>
    <col min="4102" max="4102" width="4.85546875" style="809" customWidth="1"/>
    <col min="4103" max="4103" width="11.7109375" style="809" customWidth="1"/>
    <col min="4104" max="4104" width="12" style="809" customWidth="1"/>
    <col min="4105" max="4105" width="9.7109375" style="809" customWidth="1"/>
    <col min="4106" max="4106" width="13.7109375" style="809" bestFit="1" customWidth="1"/>
    <col min="4107" max="4352" width="8.85546875" style="809"/>
    <col min="4353" max="4353" width="11.5703125" style="809" bestFit="1" customWidth="1"/>
    <col min="4354" max="4354" width="12.5703125" style="809" customWidth="1"/>
    <col min="4355" max="4355" width="10.28515625" style="809" customWidth="1"/>
    <col min="4356" max="4356" width="14.7109375" style="809" customWidth="1"/>
    <col min="4357" max="4357" width="13.28515625" style="809" bestFit="1" customWidth="1"/>
    <col min="4358" max="4358" width="4.85546875" style="809" customWidth="1"/>
    <col min="4359" max="4359" width="11.7109375" style="809" customWidth="1"/>
    <col min="4360" max="4360" width="12" style="809" customWidth="1"/>
    <col min="4361" max="4361" width="9.7109375" style="809" customWidth="1"/>
    <col min="4362" max="4362" width="13.7109375" style="809" bestFit="1" customWidth="1"/>
    <col min="4363" max="4608" width="8.85546875" style="809"/>
    <col min="4609" max="4609" width="11.5703125" style="809" bestFit="1" customWidth="1"/>
    <col min="4610" max="4610" width="12.5703125" style="809" customWidth="1"/>
    <col min="4611" max="4611" width="10.28515625" style="809" customWidth="1"/>
    <col min="4612" max="4612" width="14.7109375" style="809" customWidth="1"/>
    <col min="4613" max="4613" width="13.28515625" style="809" bestFit="1" customWidth="1"/>
    <col min="4614" max="4614" width="4.85546875" style="809" customWidth="1"/>
    <col min="4615" max="4615" width="11.7109375" style="809" customWidth="1"/>
    <col min="4616" max="4616" width="12" style="809" customWidth="1"/>
    <col min="4617" max="4617" width="9.7109375" style="809" customWidth="1"/>
    <col min="4618" max="4618" width="13.7109375" style="809" bestFit="1" customWidth="1"/>
    <col min="4619" max="4864" width="8.85546875" style="809"/>
    <col min="4865" max="4865" width="11.5703125" style="809" bestFit="1" customWidth="1"/>
    <col min="4866" max="4866" width="12.5703125" style="809" customWidth="1"/>
    <col min="4867" max="4867" width="10.28515625" style="809" customWidth="1"/>
    <col min="4868" max="4868" width="14.7109375" style="809" customWidth="1"/>
    <col min="4869" max="4869" width="13.28515625" style="809" bestFit="1" customWidth="1"/>
    <col min="4870" max="4870" width="4.85546875" style="809" customWidth="1"/>
    <col min="4871" max="4871" width="11.7109375" style="809" customWidth="1"/>
    <col min="4872" max="4872" width="12" style="809" customWidth="1"/>
    <col min="4873" max="4873" width="9.7109375" style="809" customWidth="1"/>
    <col min="4874" max="4874" width="13.7109375" style="809" bestFit="1" customWidth="1"/>
    <col min="4875" max="5120" width="8.85546875" style="809"/>
    <col min="5121" max="5121" width="11.5703125" style="809" bestFit="1" customWidth="1"/>
    <col min="5122" max="5122" width="12.5703125" style="809" customWidth="1"/>
    <col min="5123" max="5123" width="10.28515625" style="809" customWidth="1"/>
    <col min="5124" max="5124" width="14.7109375" style="809" customWidth="1"/>
    <col min="5125" max="5125" width="13.28515625" style="809" bestFit="1" customWidth="1"/>
    <col min="5126" max="5126" width="4.85546875" style="809" customWidth="1"/>
    <col min="5127" max="5127" width="11.7109375" style="809" customWidth="1"/>
    <col min="5128" max="5128" width="12" style="809" customWidth="1"/>
    <col min="5129" max="5129" width="9.7109375" style="809" customWidth="1"/>
    <col min="5130" max="5130" width="13.7109375" style="809" bestFit="1" customWidth="1"/>
    <col min="5131" max="5376" width="8.85546875" style="809"/>
    <col min="5377" max="5377" width="11.5703125" style="809" bestFit="1" customWidth="1"/>
    <col min="5378" max="5378" width="12.5703125" style="809" customWidth="1"/>
    <col min="5379" max="5379" width="10.28515625" style="809" customWidth="1"/>
    <col min="5380" max="5380" width="14.7109375" style="809" customWidth="1"/>
    <col min="5381" max="5381" width="13.28515625" style="809" bestFit="1" customWidth="1"/>
    <col min="5382" max="5382" width="4.85546875" style="809" customWidth="1"/>
    <col min="5383" max="5383" width="11.7109375" style="809" customWidth="1"/>
    <col min="5384" max="5384" width="12" style="809" customWidth="1"/>
    <col min="5385" max="5385" width="9.7109375" style="809" customWidth="1"/>
    <col min="5386" max="5386" width="13.7109375" style="809" bestFit="1" customWidth="1"/>
    <col min="5387" max="5632" width="8.85546875" style="809"/>
    <col min="5633" max="5633" width="11.5703125" style="809" bestFit="1" customWidth="1"/>
    <col min="5634" max="5634" width="12.5703125" style="809" customWidth="1"/>
    <col min="5635" max="5635" width="10.28515625" style="809" customWidth="1"/>
    <col min="5636" max="5636" width="14.7109375" style="809" customWidth="1"/>
    <col min="5637" max="5637" width="13.28515625" style="809" bestFit="1" customWidth="1"/>
    <col min="5638" max="5638" width="4.85546875" style="809" customWidth="1"/>
    <col min="5639" max="5639" width="11.7109375" style="809" customWidth="1"/>
    <col min="5640" max="5640" width="12" style="809" customWidth="1"/>
    <col min="5641" max="5641" width="9.7109375" style="809" customWidth="1"/>
    <col min="5642" max="5642" width="13.7109375" style="809" bestFit="1" customWidth="1"/>
    <col min="5643" max="5888" width="8.85546875" style="809"/>
    <col min="5889" max="5889" width="11.5703125" style="809" bestFit="1" customWidth="1"/>
    <col min="5890" max="5890" width="12.5703125" style="809" customWidth="1"/>
    <col min="5891" max="5891" width="10.28515625" style="809" customWidth="1"/>
    <col min="5892" max="5892" width="14.7109375" style="809" customWidth="1"/>
    <col min="5893" max="5893" width="13.28515625" style="809" bestFit="1" customWidth="1"/>
    <col min="5894" max="5894" width="4.85546875" style="809" customWidth="1"/>
    <col min="5895" max="5895" width="11.7109375" style="809" customWidth="1"/>
    <col min="5896" max="5896" width="12" style="809" customWidth="1"/>
    <col min="5897" max="5897" width="9.7109375" style="809" customWidth="1"/>
    <col min="5898" max="5898" width="13.7109375" style="809" bestFit="1" customWidth="1"/>
    <col min="5899" max="6144" width="8.85546875" style="809"/>
    <col min="6145" max="6145" width="11.5703125" style="809" bestFit="1" customWidth="1"/>
    <col min="6146" max="6146" width="12.5703125" style="809" customWidth="1"/>
    <col min="6147" max="6147" width="10.28515625" style="809" customWidth="1"/>
    <col min="6148" max="6148" width="14.7109375" style="809" customWidth="1"/>
    <col min="6149" max="6149" width="13.28515625" style="809" bestFit="1" customWidth="1"/>
    <col min="6150" max="6150" width="4.85546875" style="809" customWidth="1"/>
    <col min="6151" max="6151" width="11.7109375" style="809" customWidth="1"/>
    <col min="6152" max="6152" width="12" style="809" customWidth="1"/>
    <col min="6153" max="6153" width="9.7109375" style="809" customWidth="1"/>
    <col min="6154" max="6154" width="13.7109375" style="809" bestFit="1" customWidth="1"/>
    <col min="6155" max="6400" width="8.85546875" style="809"/>
    <col min="6401" max="6401" width="11.5703125" style="809" bestFit="1" customWidth="1"/>
    <col min="6402" max="6402" width="12.5703125" style="809" customWidth="1"/>
    <col min="6403" max="6403" width="10.28515625" style="809" customWidth="1"/>
    <col min="6404" max="6404" width="14.7109375" style="809" customWidth="1"/>
    <col min="6405" max="6405" width="13.28515625" style="809" bestFit="1" customWidth="1"/>
    <col min="6406" max="6406" width="4.85546875" style="809" customWidth="1"/>
    <col min="6407" max="6407" width="11.7109375" style="809" customWidth="1"/>
    <col min="6408" max="6408" width="12" style="809" customWidth="1"/>
    <col min="6409" max="6409" width="9.7109375" style="809" customWidth="1"/>
    <col min="6410" max="6410" width="13.7109375" style="809" bestFit="1" customWidth="1"/>
    <col min="6411" max="6656" width="8.85546875" style="809"/>
    <col min="6657" max="6657" width="11.5703125" style="809" bestFit="1" customWidth="1"/>
    <col min="6658" max="6658" width="12.5703125" style="809" customWidth="1"/>
    <col min="6659" max="6659" width="10.28515625" style="809" customWidth="1"/>
    <col min="6660" max="6660" width="14.7109375" style="809" customWidth="1"/>
    <col min="6661" max="6661" width="13.28515625" style="809" bestFit="1" customWidth="1"/>
    <col min="6662" max="6662" width="4.85546875" style="809" customWidth="1"/>
    <col min="6663" max="6663" width="11.7109375" style="809" customWidth="1"/>
    <col min="6664" max="6664" width="12" style="809" customWidth="1"/>
    <col min="6665" max="6665" width="9.7109375" style="809" customWidth="1"/>
    <col min="6666" max="6666" width="13.7109375" style="809" bestFit="1" customWidth="1"/>
    <col min="6667" max="6912" width="8.85546875" style="809"/>
    <col min="6913" max="6913" width="11.5703125" style="809" bestFit="1" customWidth="1"/>
    <col min="6914" max="6914" width="12.5703125" style="809" customWidth="1"/>
    <col min="6915" max="6915" width="10.28515625" style="809" customWidth="1"/>
    <col min="6916" max="6916" width="14.7109375" style="809" customWidth="1"/>
    <col min="6917" max="6917" width="13.28515625" style="809" bestFit="1" customWidth="1"/>
    <col min="6918" max="6918" width="4.85546875" style="809" customWidth="1"/>
    <col min="6919" max="6919" width="11.7109375" style="809" customWidth="1"/>
    <col min="6920" max="6920" width="12" style="809" customWidth="1"/>
    <col min="6921" max="6921" width="9.7109375" style="809" customWidth="1"/>
    <col min="6922" max="6922" width="13.7109375" style="809" bestFit="1" customWidth="1"/>
    <col min="6923" max="7168" width="8.85546875" style="809"/>
    <col min="7169" max="7169" width="11.5703125" style="809" bestFit="1" customWidth="1"/>
    <col min="7170" max="7170" width="12.5703125" style="809" customWidth="1"/>
    <col min="7171" max="7171" width="10.28515625" style="809" customWidth="1"/>
    <col min="7172" max="7172" width="14.7109375" style="809" customWidth="1"/>
    <col min="7173" max="7173" width="13.28515625" style="809" bestFit="1" customWidth="1"/>
    <col min="7174" max="7174" width="4.85546875" style="809" customWidth="1"/>
    <col min="7175" max="7175" width="11.7109375" style="809" customWidth="1"/>
    <col min="7176" max="7176" width="12" style="809" customWidth="1"/>
    <col min="7177" max="7177" width="9.7109375" style="809" customWidth="1"/>
    <col min="7178" max="7178" width="13.7109375" style="809" bestFit="1" customWidth="1"/>
    <col min="7179" max="7424" width="8.85546875" style="809"/>
    <col min="7425" max="7425" width="11.5703125" style="809" bestFit="1" customWidth="1"/>
    <col min="7426" max="7426" width="12.5703125" style="809" customWidth="1"/>
    <col min="7427" max="7427" width="10.28515625" style="809" customWidth="1"/>
    <col min="7428" max="7428" width="14.7109375" style="809" customWidth="1"/>
    <col min="7429" max="7429" width="13.28515625" style="809" bestFit="1" customWidth="1"/>
    <col min="7430" max="7430" width="4.85546875" style="809" customWidth="1"/>
    <col min="7431" max="7431" width="11.7109375" style="809" customWidth="1"/>
    <col min="7432" max="7432" width="12" style="809" customWidth="1"/>
    <col min="7433" max="7433" width="9.7109375" style="809" customWidth="1"/>
    <col min="7434" max="7434" width="13.7109375" style="809" bestFit="1" customWidth="1"/>
    <col min="7435" max="7680" width="8.85546875" style="809"/>
    <col min="7681" max="7681" width="11.5703125" style="809" bestFit="1" customWidth="1"/>
    <col min="7682" max="7682" width="12.5703125" style="809" customWidth="1"/>
    <col min="7683" max="7683" width="10.28515625" style="809" customWidth="1"/>
    <col min="7684" max="7684" width="14.7109375" style="809" customWidth="1"/>
    <col min="7685" max="7685" width="13.28515625" style="809" bestFit="1" customWidth="1"/>
    <col min="7686" max="7686" width="4.85546875" style="809" customWidth="1"/>
    <col min="7687" max="7687" width="11.7109375" style="809" customWidth="1"/>
    <col min="7688" max="7688" width="12" style="809" customWidth="1"/>
    <col min="7689" max="7689" width="9.7109375" style="809" customWidth="1"/>
    <col min="7690" max="7690" width="13.7109375" style="809" bestFit="1" customWidth="1"/>
    <col min="7691" max="7936" width="8.85546875" style="809"/>
    <col min="7937" max="7937" width="11.5703125" style="809" bestFit="1" customWidth="1"/>
    <col min="7938" max="7938" width="12.5703125" style="809" customWidth="1"/>
    <col min="7939" max="7939" width="10.28515625" style="809" customWidth="1"/>
    <col min="7940" max="7940" width="14.7109375" style="809" customWidth="1"/>
    <col min="7941" max="7941" width="13.28515625" style="809" bestFit="1" customWidth="1"/>
    <col min="7942" max="7942" width="4.85546875" style="809" customWidth="1"/>
    <col min="7943" max="7943" width="11.7109375" style="809" customWidth="1"/>
    <col min="7944" max="7944" width="12" style="809" customWidth="1"/>
    <col min="7945" max="7945" width="9.7109375" style="809" customWidth="1"/>
    <col min="7946" max="7946" width="13.7109375" style="809" bestFit="1" customWidth="1"/>
    <col min="7947" max="8192" width="8.85546875" style="809"/>
    <col min="8193" max="8193" width="11.5703125" style="809" bestFit="1" customWidth="1"/>
    <col min="8194" max="8194" width="12.5703125" style="809" customWidth="1"/>
    <col min="8195" max="8195" width="10.28515625" style="809" customWidth="1"/>
    <col min="8196" max="8196" width="14.7109375" style="809" customWidth="1"/>
    <col min="8197" max="8197" width="13.28515625" style="809" bestFit="1" customWidth="1"/>
    <col min="8198" max="8198" width="4.85546875" style="809" customWidth="1"/>
    <col min="8199" max="8199" width="11.7109375" style="809" customWidth="1"/>
    <col min="8200" max="8200" width="12" style="809" customWidth="1"/>
    <col min="8201" max="8201" width="9.7109375" style="809" customWidth="1"/>
    <col min="8202" max="8202" width="13.7109375" style="809" bestFit="1" customWidth="1"/>
    <col min="8203" max="8448" width="8.85546875" style="809"/>
    <col min="8449" max="8449" width="11.5703125" style="809" bestFit="1" customWidth="1"/>
    <col min="8450" max="8450" width="12.5703125" style="809" customWidth="1"/>
    <col min="8451" max="8451" width="10.28515625" style="809" customWidth="1"/>
    <col min="8452" max="8452" width="14.7109375" style="809" customWidth="1"/>
    <col min="8453" max="8453" width="13.28515625" style="809" bestFit="1" customWidth="1"/>
    <col min="8454" max="8454" width="4.85546875" style="809" customWidth="1"/>
    <col min="8455" max="8455" width="11.7109375" style="809" customWidth="1"/>
    <col min="8456" max="8456" width="12" style="809" customWidth="1"/>
    <col min="8457" max="8457" width="9.7109375" style="809" customWidth="1"/>
    <col min="8458" max="8458" width="13.7109375" style="809" bestFit="1" customWidth="1"/>
    <col min="8459" max="8704" width="8.85546875" style="809"/>
    <col min="8705" max="8705" width="11.5703125" style="809" bestFit="1" customWidth="1"/>
    <col min="8706" max="8706" width="12.5703125" style="809" customWidth="1"/>
    <col min="8707" max="8707" width="10.28515625" style="809" customWidth="1"/>
    <col min="8708" max="8708" width="14.7109375" style="809" customWidth="1"/>
    <col min="8709" max="8709" width="13.28515625" style="809" bestFit="1" customWidth="1"/>
    <col min="8710" max="8710" width="4.85546875" style="809" customWidth="1"/>
    <col min="8711" max="8711" width="11.7109375" style="809" customWidth="1"/>
    <col min="8712" max="8712" width="12" style="809" customWidth="1"/>
    <col min="8713" max="8713" width="9.7109375" style="809" customWidth="1"/>
    <col min="8714" max="8714" width="13.7109375" style="809" bestFit="1" customWidth="1"/>
    <col min="8715" max="8960" width="8.85546875" style="809"/>
    <col min="8961" max="8961" width="11.5703125" style="809" bestFit="1" customWidth="1"/>
    <col min="8962" max="8962" width="12.5703125" style="809" customWidth="1"/>
    <col min="8963" max="8963" width="10.28515625" style="809" customWidth="1"/>
    <col min="8964" max="8964" width="14.7109375" style="809" customWidth="1"/>
    <col min="8965" max="8965" width="13.28515625" style="809" bestFit="1" customWidth="1"/>
    <col min="8966" max="8966" width="4.85546875" style="809" customWidth="1"/>
    <col min="8967" max="8967" width="11.7109375" style="809" customWidth="1"/>
    <col min="8968" max="8968" width="12" style="809" customWidth="1"/>
    <col min="8969" max="8969" width="9.7109375" style="809" customWidth="1"/>
    <col min="8970" max="8970" width="13.7109375" style="809" bestFit="1" customWidth="1"/>
    <col min="8971" max="9216" width="8.85546875" style="809"/>
    <col min="9217" max="9217" width="11.5703125" style="809" bestFit="1" customWidth="1"/>
    <col min="9218" max="9218" width="12.5703125" style="809" customWidth="1"/>
    <col min="9219" max="9219" width="10.28515625" style="809" customWidth="1"/>
    <col min="9220" max="9220" width="14.7109375" style="809" customWidth="1"/>
    <col min="9221" max="9221" width="13.28515625" style="809" bestFit="1" customWidth="1"/>
    <col min="9222" max="9222" width="4.85546875" style="809" customWidth="1"/>
    <col min="9223" max="9223" width="11.7109375" style="809" customWidth="1"/>
    <col min="9224" max="9224" width="12" style="809" customWidth="1"/>
    <col min="9225" max="9225" width="9.7109375" style="809" customWidth="1"/>
    <col min="9226" max="9226" width="13.7109375" style="809" bestFit="1" customWidth="1"/>
    <col min="9227" max="9472" width="8.85546875" style="809"/>
    <col min="9473" max="9473" width="11.5703125" style="809" bestFit="1" customWidth="1"/>
    <col min="9474" max="9474" width="12.5703125" style="809" customWidth="1"/>
    <col min="9475" max="9475" width="10.28515625" style="809" customWidth="1"/>
    <col min="9476" max="9476" width="14.7109375" style="809" customWidth="1"/>
    <col min="9477" max="9477" width="13.28515625" style="809" bestFit="1" customWidth="1"/>
    <col min="9478" max="9478" width="4.85546875" style="809" customWidth="1"/>
    <col min="9479" max="9479" width="11.7109375" style="809" customWidth="1"/>
    <col min="9480" max="9480" width="12" style="809" customWidth="1"/>
    <col min="9481" max="9481" width="9.7109375" style="809" customWidth="1"/>
    <col min="9482" max="9482" width="13.7109375" style="809" bestFit="1" customWidth="1"/>
    <col min="9483" max="9728" width="8.85546875" style="809"/>
    <col min="9729" max="9729" width="11.5703125" style="809" bestFit="1" customWidth="1"/>
    <col min="9730" max="9730" width="12.5703125" style="809" customWidth="1"/>
    <col min="9731" max="9731" width="10.28515625" style="809" customWidth="1"/>
    <col min="9732" max="9732" width="14.7109375" style="809" customWidth="1"/>
    <col min="9733" max="9733" width="13.28515625" style="809" bestFit="1" customWidth="1"/>
    <col min="9734" max="9734" width="4.85546875" style="809" customWidth="1"/>
    <col min="9735" max="9735" width="11.7109375" style="809" customWidth="1"/>
    <col min="9736" max="9736" width="12" style="809" customWidth="1"/>
    <col min="9737" max="9737" width="9.7109375" style="809" customWidth="1"/>
    <col min="9738" max="9738" width="13.7109375" style="809" bestFit="1" customWidth="1"/>
    <col min="9739" max="9984" width="8.85546875" style="809"/>
    <col min="9985" max="9985" width="11.5703125" style="809" bestFit="1" customWidth="1"/>
    <col min="9986" max="9986" width="12.5703125" style="809" customWidth="1"/>
    <col min="9987" max="9987" width="10.28515625" style="809" customWidth="1"/>
    <col min="9988" max="9988" width="14.7109375" style="809" customWidth="1"/>
    <col min="9989" max="9989" width="13.28515625" style="809" bestFit="1" customWidth="1"/>
    <col min="9990" max="9990" width="4.85546875" style="809" customWidth="1"/>
    <col min="9991" max="9991" width="11.7109375" style="809" customWidth="1"/>
    <col min="9992" max="9992" width="12" style="809" customWidth="1"/>
    <col min="9993" max="9993" width="9.7109375" style="809" customWidth="1"/>
    <col min="9994" max="9994" width="13.7109375" style="809" bestFit="1" customWidth="1"/>
    <col min="9995" max="10240" width="8.85546875" style="809"/>
    <col min="10241" max="10241" width="11.5703125" style="809" bestFit="1" customWidth="1"/>
    <col min="10242" max="10242" width="12.5703125" style="809" customWidth="1"/>
    <col min="10243" max="10243" width="10.28515625" style="809" customWidth="1"/>
    <col min="10244" max="10244" width="14.7109375" style="809" customWidth="1"/>
    <col min="10245" max="10245" width="13.28515625" style="809" bestFit="1" customWidth="1"/>
    <col min="10246" max="10246" width="4.85546875" style="809" customWidth="1"/>
    <col min="10247" max="10247" width="11.7109375" style="809" customWidth="1"/>
    <col min="10248" max="10248" width="12" style="809" customWidth="1"/>
    <col min="10249" max="10249" width="9.7109375" style="809" customWidth="1"/>
    <col min="10250" max="10250" width="13.7109375" style="809" bestFit="1" customWidth="1"/>
    <col min="10251" max="10496" width="8.85546875" style="809"/>
    <col min="10497" max="10497" width="11.5703125" style="809" bestFit="1" customWidth="1"/>
    <col min="10498" max="10498" width="12.5703125" style="809" customWidth="1"/>
    <col min="10499" max="10499" width="10.28515625" style="809" customWidth="1"/>
    <col min="10500" max="10500" width="14.7109375" style="809" customWidth="1"/>
    <col min="10501" max="10501" width="13.28515625" style="809" bestFit="1" customWidth="1"/>
    <col min="10502" max="10502" width="4.85546875" style="809" customWidth="1"/>
    <col min="10503" max="10503" width="11.7109375" style="809" customWidth="1"/>
    <col min="10504" max="10504" width="12" style="809" customWidth="1"/>
    <col min="10505" max="10505" width="9.7109375" style="809" customWidth="1"/>
    <col min="10506" max="10506" width="13.7109375" style="809" bestFit="1" customWidth="1"/>
    <col min="10507" max="10752" width="8.85546875" style="809"/>
    <col min="10753" max="10753" width="11.5703125" style="809" bestFit="1" customWidth="1"/>
    <col min="10754" max="10754" width="12.5703125" style="809" customWidth="1"/>
    <col min="10755" max="10755" width="10.28515625" style="809" customWidth="1"/>
    <col min="10756" max="10756" width="14.7109375" style="809" customWidth="1"/>
    <col min="10757" max="10757" width="13.28515625" style="809" bestFit="1" customWidth="1"/>
    <col min="10758" max="10758" width="4.85546875" style="809" customWidth="1"/>
    <col min="10759" max="10759" width="11.7109375" style="809" customWidth="1"/>
    <col min="10760" max="10760" width="12" style="809" customWidth="1"/>
    <col min="10761" max="10761" width="9.7109375" style="809" customWidth="1"/>
    <col min="10762" max="10762" width="13.7109375" style="809" bestFit="1" customWidth="1"/>
    <col min="10763" max="11008" width="8.85546875" style="809"/>
    <col min="11009" max="11009" width="11.5703125" style="809" bestFit="1" customWidth="1"/>
    <col min="11010" max="11010" width="12.5703125" style="809" customWidth="1"/>
    <col min="11011" max="11011" width="10.28515625" style="809" customWidth="1"/>
    <col min="11012" max="11012" width="14.7109375" style="809" customWidth="1"/>
    <col min="11013" max="11013" width="13.28515625" style="809" bestFit="1" customWidth="1"/>
    <col min="11014" max="11014" width="4.85546875" style="809" customWidth="1"/>
    <col min="11015" max="11015" width="11.7109375" style="809" customWidth="1"/>
    <col min="11016" max="11016" width="12" style="809" customWidth="1"/>
    <col min="11017" max="11017" width="9.7109375" style="809" customWidth="1"/>
    <col min="11018" max="11018" width="13.7109375" style="809" bestFit="1" customWidth="1"/>
    <col min="11019" max="11264" width="8.85546875" style="809"/>
    <col min="11265" max="11265" width="11.5703125" style="809" bestFit="1" customWidth="1"/>
    <col min="11266" max="11266" width="12.5703125" style="809" customWidth="1"/>
    <col min="11267" max="11267" width="10.28515625" style="809" customWidth="1"/>
    <col min="11268" max="11268" width="14.7109375" style="809" customWidth="1"/>
    <col min="11269" max="11269" width="13.28515625" style="809" bestFit="1" customWidth="1"/>
    <col min="11270" max="11270" width="4.85546875" style="809" customWidth="1"/>
    <col min="11271" max="11271" width="11.7109375" style="809" customWidth="1"/>
    <col min="11272" max="11272" width="12" style="809" customWidth="1"/>
    <col min="11273" max="11273" width="9.7109375" style="809" customWidth="1"/>
    <col min="11274" max="11274" width="13.7109375" style="809" bestFit="1" customWidth="1"/>
    <col min="11275" max="11520" width="8.85546875" style="809"/>
    <col min="11521" max="11521" width="11.5703125" style="809" bestFit="1" customWidth="1"/>
    <col min="11522" max="11522" width="12.5703125" style="809" customWidth="1"/>
    <col min="11523" max="11523" width="10.28515625" style="809" customWidth="1"/>
    <col min="11524" max="11524" width="14.7109375" style="809" customWidth="1"/>
    <col min="11525" max="11525" width="13.28515625" style="809" bestFit="1" customWidth="1"/>
    <col min="11526" max="11526" width="4.85546875" style="809" customWidth="1"/>
    <col min="11527" max="11527" width="11.7109375" style="809" customWidth="1"/>
    <col min="11528" max="11528" width="12" style="809" customWidth="1"/>
    <col min="11529" max="11529" width="9.7109375" style="809" customWidth="1"/>
    <col min="11530" max="11530" width="13.7109375" style="809" bestFit="1" customWidth="1"/>
    <col min="11531" max="11776" width="8.85546875" style="809"/>
    <col min="11777" max="11777" width="11.5703125" style="809" bestFit="1" customWidth="1"/>
    <col min="11778" max="11778" width="12.5703125" style="809" customWidth="1"/>
    <col min="11779" max="11779" width="10.28515625" style="809" customWidth="1"/>
    <col min="11780" max="11780" width="14.7109375" style="809" customWidth="1"/>
    <col min="11781" max="11781" width="13.28515625" style="809" bestFit="1" customWidth="1"/>
    <col min="11782" max="11782" width="4.85546875" style="809" customWidth="1"/>
    <col min="11783" max="11783" width="11.7109375" style="809" customWidth="1"/>
    <col min="11784" max="11784" width="12" style="809" customWidth="1"/>
    <col min="11785" max="11785" width="9.7109375" style="809" customWidth="1"/>
    <col min="11786" max="11786" width="13.7109375" style="809" bestFit="1" customWidth="1"/>
    <col min="11787" max="12032" width="8.85546875" style="809"/>
    <col min="12033" max="12033" width="11.5703125" style="809" bestFit="1" customWidth="1"/>
    <col min="12034" max="12034" width="12.5703125" style="809" customWidth="1"/>
    <col min="12035" max="12035" width="10.28515625" style="809" customWidth="1"/>
    <col min="12036" max="12036" width="14.7109375" style="809" customWidth="1"/>
    <col min="12037" max="12037" width="13.28515625" style="809" bestFit="1" customWidth="1"/>
    <col min="12038" max="12038" width="4.85546875" style="809" customWidth="1"/>
    <col min="12039" max="12039" width="11.7109375" style="809" customWidth="1"/>
    <col min="12040" max="12040" width="12" style="809" customWidth="1"/>
    <col min="12041" max="12041" width="9.7109375" style="809" customWidth="1"/>
    <col min="12042" max="12042" width="13.7109375" style="809" bestFit="1" customWidth="1"/>
    <col min="12043" max="12288" width="8.85546875" style="809"/>
    <col min="12289" max="12289" width="11.5703125" style="809" bestFit="1" customWidth="1"/>
    <col min="12290" max="12290" width="12.5703125" style="809" customWidth="1"/>
    <col min="12291" max="12291" width="10.28515625" style="809" customWidth="1"/>
    <col min="12292" max="12292" width="14.7109375" style="809" customWidth="1"/>
    <col min="12293" max="12293" width="13.28515625" style="809" bestFit="1" customWidth="1"/>
    <col min="12294" max="12294" width="4.85546875" style="809" customWidth="1"/>
    <col min="12295" max="12295" width="11.7109375" style="809" customWidth="1"/>
    <col min="12296" max="12296" width="12" style="809" customWidth="1"/>
    <col min="12297" max="12297" width="9.7109375" style="809" customWidth="1"/>
    <col min="12298" max="12298" width="13.7109375" style="809" bestFit="1" customWidth="1"/>
    <col min="12299" max="12544" width="8.85546875" style="809"/>
    <col min="12545" max="12545" width="11.5703125" style="809" bestFit="1" customWidth="1"/>
    <col min="12546" max="12546" width="12.5703125" style="809" customWidth="1"/>
    <col min="12547" max="12547" width="10.28515625" style="809" customWidth="1"/>
    <col min="12548" max="12548" width="14.7109375" style="809" customWidth="1"/>
    <col min="12549" max="12549" width="13.28515625" style="809" bestFit="1" customWidth="1"/>
    <col min="12550" max="12550" width="4.85546875" style="809" customWidth="1"/>
    <col min="12551" max="12551" width="11.7109375" style="809" customWidth="1"/>
    <col min="12552" max="12552" width="12" style="809" customWidth="1"/>
    <col min="12553" max="12553" width="9.7109375" style="809" customWidth="1"/>
    <col min="12554" max="12554" width="13.7109375" style="809" bestFit="1" customWidth="1"/>
    <col min="12555" max="12800" width="8.85546875" style="809"/>
    <col min="12801" max="12801" width="11.5703125" style="809" bestFit="1" customWidth="1"/>
    <col min="12802" max="12802" width="12.5703125" style="809" customWidth="1"/>
    <col min="12803" max="12803" width="10.28515625" style="809" customWidth="1"/>
    <col min="12804" max="12804" width="14.7109375" style="809" customWidth="1"/>
    <col min="12805" max="12805" width="13.28515625" style="809" bestFit="1" customWidth="1"/>
    <col min="12806" max="12806" width="4.85546875" style="809" customWidth="1"/>
    <col min="12807" max="12807" width="11.7109375" style="809" customWidth="1"/>
    <col min="12808" max="12808" width="12" style="809" customWidth="1"/>
    <col min="12809" max="12809" width="9.7109375" style="809" customWidth="1"/>
    <col min="12810" max="12810" width="13.7109375" style="809" bestFit="1" customWidth="1"/>
    <col min="12811" max="13056" width="8.85546875" style="809"/>
    <col min="13057" max="13057" width="11.5703125" style="809" bestFit="1" customWidth="1"/>
    <col min="13058" max="13058" width="12.5703125" style="809" customWidth="1"/>
    <col min="13059" max="13059" width="10.28515625" style="809" customWidth="1"/>
    <col min="13060" max="13060" width="14.7109375" style="809" customWidth="1"/>
    <col min="13061" max="13061" width="13.28515625" style="809" bestFit="1" customWidth="1"/>
    <col min="13062" max="13062" width="4.85546875" style="809" customWidth="1"/>
    <col min="13063" max="13063" width="11.7109375" style="809" customWidth="1"/>
    <col min="13064" max="13064" width="12" style="809" customWidth="1"/>
    <col min="13065" max="13065" width="9.7109375" style="809" customWidth="1"/>
    <col min="13066" max="13066" width="13.7109375" style="809" bestFit="1" customWidth="1"/>
    <col min="13067" max="13312" width="8.85546875" style="809"/>
    <col min="13313" max="13313" width="11.5703125" style="809" bestFit="1" customWidth="1"/>
    <col min="13314" max="13314" width="12.5703125" style="809" customWidth="1"/>
    <col min="13315" max="13315" width="10.28515625" style="809" customWidth="1"/>
    <col min="13316" max="13316" width="14.7109375" style="809" customWidth="1"/>
    <col min="13317" max="13317" width="13.28515625" style="809" bestFit="1" customWidth="1"/>
    <col min="13318" max="13318" width="4.85546875" style="809" customWidth="1"/>
    <col min="13319" max="13319" width="11.7109375" style="809" customWidth="1"/>
    <col min="13320" max="13320" width="12" style="809" customWidth="1"/>
    <col min="13321" max="13321" width="9.7109375" style="809" customWidth="1"/>
    <col min="13322" max="13322" width="13.7109375" style="809" bestFit="1" customWidth="1"/>
    <col min="13323" max="13568" width="8.85546875" style="809"/>
    <col min="13569" max="13569" width="11.5703125" style="809" bestFit="1" customWidth="1"/>
    <col min="13570" max="13570" width="12.5703125" style="809" customWidth="1"/>
    <col min="13571" max="13571" width="10.28515625" style="809" customWidth="1"/>
    <col min="13572" max="13572" width="14.7109375" style="809" customWidth="1"/>
    <col min="13573" max="13573" width="13.28515625" style="809" bestFit="1" customWidth="1"/>
    <col min="13574" max="13574" width="4.85546875" style="809" customWidth="1"/>
    <col min="13575" max="13575" width="11.7109375" style="809" customWidth="1"/>
    <col min="13576" max="13576" width="12" style="809" customWidth="1"/>
    <col min="13577" max="13577" width="9.7109375" style="809" customWidth="1"/>
    <col min="13578" max="13578" width="13.7109375" style="809" bestFit="1" customWidth="1"/>
    <col min="13579" max="13824" width="8.85546875" style="809"/>
    <col min="13825" max="13825" width="11.5703125" style="809" bestFit="1" customWidth="1"/>
    <col min="13826" max="13826" width="12.5703125" style="809" customWidth="1"/>
    <col min="13827" max="13827" width="10.28515625" style="809" customWidth="1"/>
    <col min="13828" max="13828" width="14.7109375" style="809" customWidth="1"/>
    <col min="13829" max="13829" width="13.28515625" style="809" bestFit="1" customWidth="1"/>
    <col min="13830" max="13830" width="4.85546875" style="809" customWidth="1"/>
    <col min="13831" max="13831" width="11.7109375" style="809" customWidth="1"/>
    <col min="13832" max="13832" width="12" style="809" customWidth="1"/>
    <col min="13833" max="13833" width="9.7109375" style="809" customWidth="1"/>
    <col min="13834" max="13834" width="13.7109375" style="809" bestFit="1" customWidth="1"/>
    <col min="13835" max="14080" width="8.85546875" style="809"/>
    <col min="14081" max="14081" width="11.5703125" style="809" bestFit="1" customWidth="1"/>
    <col min="14082" max="14082" width="12.5703125" style="809" customWidth="1"/>
    <col min="14083" max="14083" width="10.28515625" style="809" customWidth="1"/>
    <col min="14084" max="14084" width="14.7109375" style="809" customWidth="1"/>
    <col min="14085" max="14085" width="13.28515625" style="809" bestFit="1" customWidth="1"/>
    <col min="14086" max="14086" width="4.85546875" style="809" customWidth="1"/>
    <col min="14087" max="14087" width="11.7109375" style="809" customWidth="1"/>
    <col min="14088" max="14088" width="12" style="809" customWidth="1"/>
    <col min="14089" max="14089" width="9.7109375" style="809" customWidth="1"/>
    <col min="14090" max="14090" width="13.7109375" style="809" bestFit="1" customWidth="1"/>
    <col min="14091" max="14336" width="8.85546875" style="809"/>
    <col min="14337" max="14337" width="11.5703125" style="809" bestFit="1" customWidth="1"/>
    <col min="14338" max="14338" width="12.5703125" style="809" customWidth="1"/>
    <col min="14339" max="14339" width="10.28515625" style="809" customWidth="1"/>
    <col min="14340" max="14340" width="14.7109375" style="809" customWidth="1"/>
    <col min="14341" max="14341" width="13.28515625" style="809" bestFit="1" customWidth="1"/>
    <col min="14342" max="14342" width="4.85546875" style="809" customWidth="1"/>
    <col min="14343" max="14343" width="11.7109375" style="809" customWidth="1"/>
    <col min="14344" max="14344" width="12" style="809" customWidth="1"/>
    <col min="14345" max="14345" width="9.7109375" style="809" customWidth="1"/>
    <col min="14346" max="14346" width="13.7109375" style="809" bestFit="1" customWidth="1"/>
    <col min="14347" max="14592" width="8.85546875" style="809"/>
    <col min="14593" max="14593" width="11.5703125" style="809" bestFit="1" customWidth="1"/>
    <col min="14594" max="14594" width="12.5703125" style="809" customWidth="1"/>
    <col min="14595" max="14595" width="10.28515625" style="809" customWidth="1"/>
    <col min="14596" max="14596" width="14.7109375" style="809" customWidth="1"/>
    <col min="14597" max="14597" width="13.28515625" style="809" bestFit="1" customWidth="1"/>
    <col min="14598" max="14598" width="4.85546875" style="809" customWidth="1"/>
    <col min="14599" max="14599" width="11.7109375" style="809" customWidth="1"/>
    <col min="14600" max="14600" width="12" style="809" customWidth="1"/>
    <col min="14601" max="14601" width="9.7109375" style="809" customWidth="1"/>
    <col min="14602" max="14602" width="13.7109375" style="809" bestFit="1" customWidth="1"/>
    <col min="14603" max="14848" width="8.85546875" style="809"/>
    <col min="14849" max="14849" width="11.5703125" style="809" bestFit="1" customWidth="1"/>
    <col min="14850" max="14850" width="12.5703125" style="809" customWidth="1"/>
    <col min="14851" max="14851" width="10.28515625" style="809" customWidth="1"/>
    <col min="14852" max="14852" width="14.7109375" style="809" customWidth="1"/>
    <col min="14853" max="14853" width="13.28515625" style="809" bestFit="1" customWidth="1"/>
    <col min="14854" max="14854" width="4.85546875" style="809" customWidth="1"/>
    <col min="14855" max="14855" width="11.7109375" style="809" customWidth="1"/>
    <col min="14856" max="14856" width="12" style="809" customWidth="1"/>
    <col min="14857" max="14857" width="9.7109375" style="809" customWidth="1"/>
    <col min="14858" max="14858" width="13.7109375" style="809" bestFit="1" customWidth="1"/>
    <col min="14859" max="15104" width="8.85546875" style="809"/>
    <col min="15105" max="15105" width="11.5703125" style="809" bestFit="1" customWidth="1"/>
    <col min="15106" max="15106" width="12.5703125" style="809" customWidth="1"/>
    <col min="15107" max="15107" width="10.28515625" style="809" customWidth="1"/>
    <col min="15108" max="15108" width="14.7109375" style="809" customWidth="1"/>
    <col min="15109" max="15109" width="13.28515625" style="809" bestFit="1" customWidth="1"/>
    <col min="15110" max="15110" width="4.85546875" style="809" customWidth="1"/>
    <col min="15111" max="15111" width="11.7109375" style="809" customWidth="1"/>
    <col min="15112" max="15112" width="12" style="809" customWidth="1"/>
    <col min="15113" max="15113" width="9.7109375" style="809" customWidth="1"/>
    <col min="15114" max="15114" width="13.7109375" style="809" bestFit="1" customWidth="1"/>
    <col min="15115" max="15360" width="8.85546875" style="809"/>
    <col min="15361" max="15361" width="11.5703125" style="809" bestFit="1" customWidth="1"/>
    <col min="15362" max="15362" width="12.5703125" style="809" customWidth="1"/>
    <col min="15363" max="15363" width="10.28515625" style="809" customWidth="1"/>
    <col min="15364" max="15364" width="14.7109375" style="809" customWidth="1"/>
    <col min="15365" max="15365" width="13.28515625" style="809" bestFit="1" customWidth="1"/>
    <col min="15366" max="15366" width="4.85546875" style="809" customWidth="1"/>
    <col min="15367" max="15367" width="11.7109375" style="809" customWidth="1"/>
    <col min="15368" max="15368" width="12" style="809" customWidth="1"/>
    <col min="15369" max="15369" width="9.7109375" style="809" customWidth="1"/>
    <col min="15370" max="15370" width="13.7109375" style="809" bestFit="1" customWidth="1"/>
    <col min="15371" max="15616" width="8.85546875" style="809"/>
    <col min="15617" max="15617" width="11.5703125" style="809" bestFit="1" customWidth="1"/>
    <col min="15618" max="15618" width="12.5703125" style="809" customWidth="1"/>
    <col min="15619" max="15619" width="10.28515625" style="809" customWidth="1"/>
    <col min="15620" max="15620" width="14.7109375" style="809" customWidth="1"/>
    <col min="15621" max="15621" width="13.28515625" style="809" bestFit="1" customWidth="1"/>
    <col min="15622" max="15622" width="4.85546875" style="809" customWidth="1"/>
    <col min="15623" max="15623" width="11.7109375" style="809" customWidth="1"/>
    <col min="15624" max="15624" width="12" style="809" customWidth="1"/>
    <col min="15625" max="15625" width="9.7109375" style="809" customWidth="1"/>
    <col min="15626" max="15626" width="13.7109375" style="809" bestFit="1" customWidth="1"/>
    <col min="15627" max="15872" width="8.85546875" style="809"/>
    <col min="15873" max="15873" width="11.5703125" style="809" bestFit="1" customWidth="1"/>
    <col min="15874" max="15874" width="12.5703125" style="809" customWidth="1"/>
    <col min="15875" max="15875" width="10.28515625" style="809" customWidth="1"/>
    <col min="15876" max="15876" width="14.7109375" style="809" customWidth="1"/>
    <col min="15877" max="15877" width="13.28515625" style="809" bestFit="1" customWidth="1"/>
    <col min="15878" max="15878" width="4.85546875" style="809" customWidth="1"/>
    <col min="15879" max="15879" width="11.7109375" style="809" customWidth="1"/>
    <col min="15880" max="15880" width="12" style="809" customWidth="1"/>
    <col min="15881" max="15881" width="9.7109375" style="809" customWidth="1"/>
    <col min="15882" max="15882" width="13.7109375" style="809" bestFit="1" customWidth="1"/>
    <col min="15883" max="16128" width="8.85546875" style="809"/>
    <col min="16129" max="16129" width="11.5703125" style="809" bestFit="1" customWidth="1"/>
    <col min="16130" max="16130" width="12.5703125" style="809" customWidth="1"/>
    <col min="16131" max="16131" width="10.28515625" style="809" customWidth="1"/>
    <col min="16132" max="16132" width="14.7109375" style="809" customWidth="1"/>
    <col min="16133" max="16133" width="13.28515625" style="809" bestFit="1" customWidth="1"/>
    <col min="16134" max="16134" width="4.85546875" style="809" customWidth="1"/>
    <col min="16135" max="16135" width="11.7109375" style="809" customWidth="1"/>
    <col min="16136" max="16136" width="12" style="809" customWidth="1"/>
    <col min="16137" max="16137" width="9.7109375" style="809" customWidth="1"/>
    <col min="16138" max="16138" width="13.7109375" style="809" bestFit="1" customWidth="1"/>
    <col min="16139" max="16384" width="8.85546875" style="809"/>
  </cols>
  <sheetData>
    <row r="1" spans="1:11" ht="23.25">
      <c r="A1" s="3640" t="s">
        <v>3100</v>
      </c>
      <c r="B1" s="3640"/>
      <c r="C1" s="3640"/>
      <c r="D1" s="3640"/>
      <c r="E1" s="3640"/>
      <c r="F1" s="3640"/>
      <c r="G1" s="3640"/>
      <c r="H1" s="3640"/>
      <c r="I1" s="3640"/>
      <c r="J1" s="3640"/>
      <c r="K1" s="3640"/>
    </row>
    <row r="2" spans="1:11" ht="15">
      <c r="A2" s="3654" t="str">
        <f>Overview!C8</f>
        <v>Tindall Fields III</v>
      </c>
      <c r="B2" s="3654"/>
      <c r="C2" s="3654"/>
      <c r="D2" s="3654"/>
      <c r="E2" s="3654"/>
      <c r="F2" s="3654"/>
      <c r="G2" s="3654"/>
      <c r="H2" s="3654"/>
      <c r="I2" s="3654"/>
      <c r="J2" s="3654"/>
      <c r="K2" s="3654"/>
    </row>
    <row r="3" spans="1:11" ht="9" customHeight="1">
      <c r="A3" s="810"/>
      <c r="B3" s="810"/>
      <c r="C3" s="810"/>
    </row>
    <row r="4" spans="1:11" ht="18">
      <c r="A4" s="811" t="s">
        <v>3575</v>
      </c>
      <c r="B4" s="810"/>
      <c r="C4" s="810"/>
      <c r="K4" s="812"/>
    </row>
    <row r="5" spans="1:11" s="767" customFormat="1" ht="42" customHeight="1">
      <c r="C5" s="3641" t="s">
        <v>4523</v>
      </c>
      <c r="D5" s="3642"/>
      <c r="E5" s="3643"/>
      <c r="F5" s="593"/>
      <c r="G5" s="3641" t="s">
        <v>4524</v>
      </c>
      <c r="H5" s="3642"/>
      <c r="I5" s="3643"/>
      <c r="J5" s="809"/>
      <c r="K5" s="3652" t="s">
        <v>4525</v>
      </c>
    </row>
    <row r="6" spans="1:11" s="814" customFormat="1" ht="15" customHeight="1">
      <c r="A6" s="813" t="s">
        <v>2732</v>
      </c>
      <c r="C6" s="815" t="s">
        <v>3558</v>
      </c>
      <c r="D6" s="815" t="s">
        <v>4526</v>
      </c>
      <c r="E6" s="815" t="s">
        <v>2006</v>
      </c>
      <c r="G6" s="815" t="s">
        <v>3559</v>
      </c>
      <c r="H6" s="815" t="s">
        <v>4527</v>
      </c>
      <c r="I6" s="815" t="s">
        <v>2006</v>
      </c>
      <c r="K6" s="3653"/>
    </row>
    <row r="7" spans="1:11" s="593" customFormat="1" ht="13.5" customHeight="1">
      <c r="A7" s="593" t="s">
        <v>3101</v>
      </c>
      <c r="C7" s="817"/>
      <c r="D7" s="1407">
        <f>'Part VI-Revenues &amp; Expenses'!$J$58</f>
        <v>0</v>
      </c>
      <c r="E7" s="819">
        <f>C7*D7</f>
        <v>0</v>
      </c>
      <c r="G7" s="817"/>
      <c r="H7" s="818">
        <f>'Part VI-Revenues &amp; Expenses'!$J$62</f>
        <v>0</v>
      </c>
      <c r="I7" s="819">
        <f>G7*H7</f>
        <v>0</v>
      </c>
      <c r="K7" s="1414">
        <f>'Part VIII-Threshold Criteria'!$P$49</f>
        <v>0</v>
      </c>
    </row>
    <row r="8" spans="1:11" s="593" customFormat="1" ht="13.5" customHeight="1">
      <c r="A8" s="593" t="s">
        <v>2730</v>
      </c>
      <c r="C8" s="817"/>
      <c r="D8" s="1407">
        <f>'Part VI-Revenues &amp; Expenses'!$K$58</f>
        <v>0</v>
      </c>
      <c r="E8" s="819">
        <f>C8*D8</f>
        <v>0</v>
      </c>
      <c r="G8" s="817"/>
      <c r="H8" s="818">
        <f>'Part VI-Revenues &amp; Expenses'!$K$62</f>
        <v>0</v>
      </c>
      <c r="I8" s="819">
        <f>G8*H8</f>
        <v>0</v>
      </c>
      <c r="K8" s="816" t="s">
        <v>3560</v>
      </c>
    </row>
    <row r="9" spans="1:11" s="593" customFormat="1" ht="13.5" customHeight="1">
      <c r="A9" s="593" t="s">
        <v>2731</v>
      </c>
      <c r="C9" s="817"/>
      <c r="D9" s="1407">
        <f>'Part VI-Revenues &amp; Expenses'!$L$58</f>
        <v>45</v>
      </c>
      <c r="E9" s="819">
        <f>C9*D9</f>
        <v>0</v>
      </c>
      <c r="G9" s="817"/>
      <c r="H9" s="818">
        <f>'Part VI-Revenues &amp; Expenses'!$L$62</f>
        <v>45</v>
      </c>
      <c r="I9" s="819">
        <f>G9*H9</f>
        <v>0</v>
      </c>
      <c r="K9" s="1414">
        <f>'Part IV-A-Uses of Funds'!$G$132</f>
        <v>13639318</v>
      </c>
    </row>
    <row r="10" spans="1:11" s="593" customFormat="1" ht="13.5" customHeight="1">
      <c r="A10" s="593" t="s">
        <v>2734</v>
      </c>
      <c r="C10" s="817"/>
      <c r="D10" s="1407">
        <f>'Part VI-Revenues &amp; Expenses'!$M$58</f>
        <v>20</v>
      </c>
      <c r="E10" s="819">
        <f>C10*D10</f>
        <v>0</v>
      </c>
      <c r="G10" s="817"/>
      <c r="H10" s="818">
        <f>'Part VI-Revenues &amp; Expenses'!$M$62</f>
        <v>20</v>
      </c>
      <c r="I10" s="819">
        <f>G10*H10</f>
        <v>0</v>
      </c>
      <c r="K10" s="816" t="s">
        <v>3561</v>
      </c>
    </row>
    <row r="11" spans="1:11" s="593" customFormat="1" ht="13.5" customHeight="1">
      <c r="A11" s="821" t="s">
        <v>3557</v>
      </c>
      <c r="C11" s="822"/>
      <c r="D11" s="1408">
        <f>'Part VI-Revenues &amp; Expenses'!$N$58</f>
        <v>0</v>
      </c>
      <c r="E11" s="824">
        <f>C11*D11</f>
        <v>0</v>
      </c>
      <c r="G11" s="822"/>
      <c r="H11" s="823">
        <f>'Part VI-Revenues &amp; Expenses'!$N$62</f>
        <v>0</v>
      </c>
      <c r="I11" s="824">
        <f>G11*H11</f>
        <v>0</v>
      </c>
      <c r="K11" s="3644" t="s">
        <v>3565</v>
      </c>
    </row>
    <row r="12" spans="1:11" ht="13.5" customHeight="1" thickBot="1">
      <c r="A12" s="825" t="s">
        <v>3527</v>
      </c>
      <c r="D12" s="856">
        <f>SUM(D7:D11)</f>
        <v>65</v>
      </c>
      <c r="E12" s="826"/>
      <c r="G12" s="825" t="s">
        <v>1806</v>
      </c>
      <c r="H12" s="1413">
        <f>SUM(H7:H11)</f>
        <v>65</v>
      </c>
      <c r="I12" s="826"/>
      <c r="K12" s="3645"/>
    </row>
    <row r="13" spans="1:11" s="593" customFormat="1" ht="13.5" customHeight="1" thickBot="1">
      <c r="A13" s="825" t="s">
        <v>3102</v>
      </c>
      <c r="B13" s="827"/>
      <c r="E13" s="828">
        <f>SUM(E7:E11)</f>
        <v>0</v>
      </c>
      <c r="G13" s="825" t="s">
        <v>3338</v>
      </c>
      <c r="H13" s="827"/>
      <c r="I13" s="829">
        <f>SUM(I7:I11)</f>
        <v>0</v>
      </c>
      <c r="K13" s="1414">
        <f>'Part VIII-Threshold Criteria'!$P$63</f>
        <v>13663801</v>
      </c>
    </row>
    <row r="14" spans="1:11" ht="11.25" customHeight="1">
      <c r="G14" s="830" t="s">
        <v>3562</v>
      </c>
    </row>
    <row r="15" spans="1:11" s="593" customFormat="1" ht="9" customHeight="1"/>
    <row r="16" spans="1:11" ht="16.5" customHeight="1">
      <c r="A16" s="811" t="s">
        <v>3576</v>
      </c>
    </row>
    <row r="17" spans="1:11" ht="6" customHeight="1"/>
    <row r="18" spans="1:11" s="593" customFormat="1" ht="13.5" customHeight="1">
      <c r="A18" s="593" t="s">
        <v>3564</v>
      </c>
      <c r="E18" s="1415" t="s">
        <v>4311</v>
      </c>
      <c r="F18" s="1416"/>
      <c r="G18" s="1416"/>
      <c r="H18" s="1416"/>
      <c r="I18" s="1416"/>
      <c r="K18" s="1392">
        <f>Overview!$E$13</f>
        <v>65</v>
      </c>
    </row>
    <row r="19" spans="1:11" s="593" customFormat="1" ht="13.5" customHeight="1">
      <c r="A19" s="593" t="s">
        <v>3103</v>
      </c>
      <c r="E19" s="1410"/>
      <c r="K19" s="680">
        <f>Overview!$C$13</f>
        <v>65</v>
      </c>
    </row>
    <row r="20" spans="1:11" ht="3" customHeight="1">
      <c r="A20" s="831"/>
      <c r="E20" s="1411"/>
    </row>
    <row r="21" spans="1:11" s="593" customFormat="1" ht="13.5" customHeight="1">
      <c r="A21" s="593" t="s">
        <v>3104</v>
      </c>
      <c r="E21" s="1409" t="s">
        <v>3563</v>
      </c>
      <c r="K21" s="832">
        <f>K18/K19</f>
        <v>1</v>
      </c>
    </row>
    <row r="22" spans="1:11" ht="6.75" customHeight="1">
      <c r="E22" s="1411"/>
    </row>
    <row r="23" spans="1:11" s="593" customFormat="1" ht="13.5" customHeight="1">
      <c r="A23" s="593" t="s">
        <v>3526</v>
      </c>
      <c r="C23" s="833"/>
      <c r="E23" s="1409" t="s">
        <v>3107</v>
      </c>
      <c r="K23" s="680">
        <f>K9</f>
        <v>13639318</v>
      </c>
    </row>
    <row r="24" spans="1:11" s="593" customFormat="1" ht="13.5" customHeight="1">
      <c r="A24" s="834" t="s">
        <v>1773</v>
      </c>
      <c r="E24" s="1410"/>
      <c r="K24" s="820">
        <f>'Part IV-A-Uses of Funds'!$G$122</f>
        <v>180450</v>
      </c>
    </row>
    <row r="25" spans="1:11" s="593" customFormat="1" ht="13.5" customHeight="1">
      <c r="A25" s="834" t="s">
        <v>3108</v>
      </c>
      <c r="E25" s="1410"/>
      <c r="K25" s="835">
        <v>0</v>
      </c>
    </row>
    <row r="26" spans="1:11" s="593" customFormat="1" ht="13.5" customHeight="1">
      <c r="A26" s="834" t="s">
        <v>3108</v>
      </c>
      <c r="E26" s="1410"/>
      <c r="K26" s="835">
        <v>0</v>
      </c>
    </row>
    <row r="27" spans="1:11" ht="3" customHeight="1">
      <c r="A27" s="836"/>
      <c r="E27" s="1411"/>
      <c r="K27" s="837">
        <v>0</v>
      </c>
    </row>
    <row r="28" spans="1:11" s="827" customFormat="1" ht="13.5" customHeight="1">
      <c r="A28" s="827" t="s">
        <v>3109</v>
      </c>
      <c r="E28" s="1412"/>
      <c r="K28" s="838">
        <f>K23-SUM(K24:K27)</f>
        <v>13458868</v>
      </c>
    </row>
    <row r="29" spans="1:11" ht="6.75" customHeight="1">
      <c r="A29" s="831"/>
      <c r="E29" s="1411"/>
      <c r="K29" s="839"/>
    </row>
    <row r="30" spans="1:11" s="593" customFormat="1" ht="15" customHeight="1">
      <c r="A30" s="827" t="s">
        <v>3110</v>
      </c>
      <c r="E30" s="1409" t="s">
        <v>3570</v>
      </c>
      <c r="F30" s="840"/>
      <c r="G30" s="840"/>
      <c r="H30" s="840"/>
      <c r="I30" s="840"/>
      <c r="K30" s="841">
        <f>K21*K28</f>
        <v>13458868</v>
      </c>
    </row>
    <row r="31" spans="1:11" ht="13.5" customHeight="1">
      <c r="E31" s="1411"/>
      <c r="K31" s="839"/>
    </row>
    <row r="32" spans="1:11" s="593" customFormat="1" ht="16.5" customHeight="1">
      <c r="A32" s="842" t="s">
        <v>3577</v>
      </c>
      <c r="B32" s="827"/>
      <c r="C32" s="827"/>
      <c r="D32" s="827"/>
      <c r="E32" s="1409"/>
    </row>
    <row r="33" spans="1:11" ht="6" customHeight="1" thickBot="1">
      <c r="E33" s="1411"/>
    </row>
    <row r="34" spans="1:11" s="593" customFormat="1" ht="18" customHeight="1" thickBot="1">
      <c r="A34" s="843" t="s">
        <v>3573</v>
      </c>
      <c r="B34" s="827"/>
      <c r="C34" s="827"/>
      <c r="D34" s="827"/>
      <c r="E34" s="1409" t="s">
        <v>3571</v>
      </c>
      <c r="K34" s="844">
        <f>MIN(E13,K30)</f>
        <v>0</v>
      </c>
    </row>
    <row r="35" spans="1:11" ht="6" customHeight="1">
      <c r="E35" s="1411"/>
    </row>
    <row r="36" spans="1:11" s="593" customFormat="1" ht="15" customHeight="1">
      <c r="A36" s="827" t="s">
        <v>3574</v>
      </c>
      <c r="E36" s="1409" t="s">
        <v>3572</v>
      </c>
      <c r="K36" s="845">
        <f>Overview!C25</f>
        <v>1400000</v>
      </c>
    </row>
    <row r="37" spans="1:11" s="593" customFormat="1" ht="9" customHeight="1" thickBot="1">
      <c r="E37" s="846"/>
      <c r="F37" s="846"/>
      <c r="G37" s="846"/>
      <c r="H37" s="846"/>
      <c r="K37" s="847"/>
    </row>
    <row r="38" spans="1:11" s="593" customFormat="1" ht="15.75" customHeight="1">
      <c r="A38" s="3646" t="s">
        <v>3568</v>
      </c>
      <c r="B38" s="3646"/>
      <c r="C38" s="3646"/>
      <c r="D38" s="3647" t="s">
        <v>3105</v>
      </c>
      <c r="E38" s="3647"/>
      <c r="F38" s="3647" t="s">
        <v>3106</v>
      </c>
      <c r="G38" s="3647"/>
      <c r="H38" s="3647"/>
      <c r="I38" s="1470" t="s">
        <v>2847</v>
      </c>
      <c r="K38" s="3648">
        <f>ROUND((D39/F39)*I39,0)</f>
        <v>7</v>
      </c>
    </row>
    <row r="39" spans="1:11" s="593" customFormat="1" ht="15.75" customHeight="1" thickBot="1">
      <c r="A39" s="3646"/>
      <c r="B39" s="3646"/>
      <c r="C39" s="3646"/>
      <c r="D39" s="3650">
        <f>K36</f>
        <v>1400000</v>
      </c>
      <c r="E39" s="3650"/>
      <c r="F39" s="3651">
        <f>K28</f>
        <v>13458868</v>
      </c>
      <c r="G39" s="3651"/>
      <c r="H39" s="3651"/>
      <c r="I39" s="848">
        <f>K19</f>
        <v>65</v>
      </c>
      <c r="K39" s="3649"/>
    </row>
    <row r="40" spans="1:11" ht="12.75" customHeight="1">
      <c r="D40" s="849" t="s">
        <v>3569</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809" customWidth="1"/>
    <col min="2" max="2" width="0.85546875" style="809" customWidth="1"/>
    <col min="3" max="3" width="16.42578125" style="809" customWidth="1"/>
    <col min="4" max="4" width="18.140625" style="809" customWidth="1"/>
    <col min="5" max="5" width="16.42578125" style="809" customWidth="1"/>
    <col min="6" max="6" width="13.140625" style="809" customWidth="1"/>
    <col min="7" max="7" width="14.42578125" style="809" customWidth="1"/>
    <col min="8" max="8" width="5.85546875" style="809" customWidth="1"/>
    <col min="9" max="16384" width="9.140625" style="809"/>
  </cols>
  <sheetData>
    <row r="1" spans="1:13" ht="12" customHeight="1">
      <c r="A1" s="3655" t="str">
        <f>CONCATENATE(Overview!E8,"  ",Overview!C8)</f>
        <v>2018-013  Tindall Fields III</v>
      </c>
      <c r="B1" s="3655"/>
      <c r="C1" s="3655"/>
      <c r="D1" s="3655"/>
      <c r="E1" s="3655"/>
      <c r="F1" s="3655"/>
      <c r="G1" s="3655"/>
      <c r="H1" s="3655"/>
    </row>
    <row r="3" spans="1:13" ht="12" customHeight="1">
      <c r="A3" s="3656" t="s">
        <v>3529</v>
      </c>
      <c r="B3" s="3656"/>
      <c r="C3" s="3656"/>
      <c r="D3" s="3656"/>
      <c r="E3" s="3656"/>
      <c r="F3" s="3656"/>
      <c r="G3" s="3656"/>
      <c r="H3" s="3656"/>
      <c r="I3" s="1474"/>
      <c r="J3" s="3658" t="s">
        <v>4312</v>
      </c>
      <c r="K3" s="3658"/>
      <c r="L3" s="882"/>
      <c r="M3" s="882"/>
    </row>
    <row r="4" spans="1:13">
      <c r="J4" s="3658"/>
      <c r="K4" s="3658"/>
    </row>
    <row r="5" spans="1:13" ht="12" customHeight="1">
      <c r="A5" s="809">
        <v>1</v>
      </c>
      <c r="C5" s="809" t="s">
        <v>3112</v>
      </c>
      <c r="E5" s="864" t="str">
        <f>Overview!H9</f>
        <v>Tindall Partners IV, L.P.</v>
      </c>
      <c r="J5" s="3658"/>
      <c r="K5" s="3658"/>
    </row>
    <row r="6" spans="1:13" ht="3" customHeight="1">
      <c r="H6" s="826"/>
      <c r="J6" s="3658"/>
      <c r="K6" s="3658"/>
    </row>
    <row r="7" spans="1:13" ht="12" customHeight="1">
      <c r="A7" s="809">
        <v>2</v>
      </c>
      <c r="C7" s="809" t="s">
        <v>3113</v>
      </c>
      <c r="E7" s="864" t="str">
        <f>'Part II-Development Team'!H6</f>
        <v>2015 Felton Avenue</v>
      </c>
      <c r="J7" s="3658"/>
      <c r="K7" s="3658"/>
    </row>
    <row r="8" spans="1:13" ht="12" customHeight="1">
      <c r="E8" s="864" t="str">
        <f>+'Part II-Development Team'!H7&amp;","&amp;" "&amp;'Part II-Development Team'!H8&amp;" "&amp;LEFT('Part II-Development Team'!J8,5)</f>
        <v>Macon, GA 31201</v>
      </c>
      <c r="J8" s="3658"/>
      <c r="K8" s="3658"/>
    </row>
    <row r="9" spans="1:13" ht="12" customHeight="1">
      <c r="C9" s="809" t="s">
        <v>3114</v>
      </c>
      <c r="E9" s="3657">
        <f>'Part II-Development Team'!L7</f>
        <v>0</v>
      </c>
      <c r="F9" s="3657"/>
      <c r="J9" s="3658"/>
      <c r="K9" s="3658"/>
    </row>
    <row r="10" spans="1:13" ht="12" customHeight="1">
      <c r="C10" s="809" t="s">
        <v>3115</v>
      </c>
      <c r="E10" s="864" t="str">
        <f>'Part II-Development Team'!Q5</f>
        <v>Michael T. Austin</v>
      </c>
    </row>
    <row r="11" spans="1:13" ht="12" customHeight="1">
      <c r="C11" s="809" t="s">
        <v>4317</v>
      </c>
      <c r="E11" s="864" t="str">
        <f>'Part II-Development Team'!L9</f>
        <v>maustin@mcaonhousing.com</v>
      </c>
    </row>
    <row r="12" spans="1:13" ht="12" customHeight="1">
      <c r="C12" s="809" t="s">
        <v>4313</v>
      </c>
      <c r="E12" s="1475">
        <f>'Part II-Development Team'!H9</f>
        <v>4787525070</v>
      </c>
    </row>
    <row r="13" spans="1:13" ht="12" customHeight="1">
      <c r="C13" s="809" t="s">
        <v>4316</v>
      </c>
      <c r="E13" s="1475">
        <f>'Part II-Development Team'!Q7</f>
        <v>4787525070</v>
      </c>
    </row>
    <row r="14" spans="1:13" ht="3" customHeight="1"/>
    <row r="15" spans="1:13" ht="12" customHeight="1">
      <c r="A15" s="809">
        <v>3</v>
      </c>
      <c r="C15" s="809" t="s">
        <v>3116</v>
      </c>
      <c r="E15" s="864" t="str">
        <f>Overview!C8</f>
        <v>Tindall Fields III</v>
      </c>
    </row>
    <row r="16" spans="1:13" ht="12" customHeight="1">
      <c r="C16" s="809" t="s">
        <v>3117</v>
      </c>
      <c r="E16" s="864" t="str">
        <f>'Part I-Project Information'!$F$35</f>
        <v>TBD</v>
      </c>
    </row>
    <row r="17" spans="1:8" ht="12" customHeight="1">
      <c r="E17" s="864" t="str">
        <f>+'Part I-Project Information'!$F$38&amp;","&amp;" GA "&amp;LEFT('Part I-Project Information'!$J$38,5)</f>
        <v>Macon, GA 31201</v>
      </c>
    </row>
    <row r="18" spans="1:8" ht="3" customHeight="1"/>
    <row r="19" spans="1:8" ht="12" customHeight="1">
      <c r="A19" s="809">
        <v>4</v>
      </c>
      <c r="C19" s="809" t="s">
        <v>3118</v>
      </c>
      <c r="E19" s="864" t="str">
        <f>'Part II-Development Team'!H92</f>
        <v>Macon Housing Authority</v>
      </c>
    </row>
    <row r="20" spans="1:8" ht="12" customHeight="1">
      <c r="C20" s="809" t="s">
        <v>3119</v>
      </c>
      <c r="E20" s="864" t="str">
        <f>'Part II-Development Team'!H93</f>
        <v>2015 Felton Avenue</v>
      </c>
    </row>
    <row r="21" spans="1:8" ht="12" customHeight="1">
      <c r="E21" s="864" t="str">
        <f>+'Part II-Development Team'!H94&amp;","&amp;" "&amp;'Part II-Development Team'!H95&amp;" "&amp;LEFT('Part II-Development Team'!L95,5)</f>
        <v>Macon  , GA 31201</v>
      </c>
    </row>
    <row r="22" spans="1:8" ht="12" customHeight="1">
      <c r="C22" s="809" t="s">
        <v>4313</v>
      </c>
      <c r="E22" s="1475">
        <f>'Part II-Development Team'!H96</f>
        <v>4787525070</v>
      </c>
    </row>
    <row r="23" spans="1:8" ht="12" customHeight="1">
      <c r="C23" s="809" t="s">
        <v>4316</v>
      </c>
      <c r="E23" s="1475">
        <f>'Part II-Development Team'!Q94</f>
        <v>4787525070</v>
      </c>
    </row>
    <row r="24" spans="1:8" ht="12" customHeight="1">
      <c r="C24" s="809" t="s">
        <v>4317</v>
      </c>
      <c r="E24" s="1475" t="str">
        <f>'Part II-Development Team'!L96</f>
        <v>maustin@maconhousing.com</v>
      </c>
    </row>
    <row r="25" spans="1:8" ht="3" customHeight="1">
      <c r="E25" s="864"/>
    </row>
    <row r="26" spans="1:8" ht="12" customHeight="1">
      <c r="A26" s="809">
        <v>5</v>
      </c>
      <c r="C26" s="809" t="s">
        <v>3120</v>
      </c>
      <c r="E26" s="864" t="str">
        <f>Overview!$H$7</f>
        <v>New Construction</v>
      </c>
    </row>
    <row r="27" spans="1:8" ht="12" customHeight="1">
      <c r="E27" s="1473" t="s">
        <v>1784</v>
      </c>
    </row>
    <row r="28" spans="1:8" ht="12" customHeight="1">
      <c r="C28" s="809" t="s">
        <v>3528</v>
      </c>
      <c r="E28" s="809" t="str">
        <f>Overview!$C$9</f>
        <v>&lt;&lt;Select&gt;&gt;</v>
      </c>
    </row>
    <row r="29" spans="1:8" ht="3" customHeight="1">
      <c r="H29" s="886"/>
    </row>
    <row r="30" spans="1:8" ht="12" customHeight="1">
      <c r="A30" s="809">
        <v>6</v>
      </c>
      <c r="C30" s="809" t="s">
        <v>3121</v>
      </c>
      <c r="E30" s="809" t="s">
        <v>2425</v>
      </c>
      <c r="F30" s="1476">
        <f>'Part III-Sources of Funds'!L19</f>
        <v>1400000</v>
      </c>
      <c r="G30" s="809" t="s">
        <v>3122</v>
      </c>
    </row>
    <row r="31" spans="1:8" ht="12" customHeight="1">
      <c r="F31" s="1476" t="s">
        <v>3123</v>
      </c>
      <c r="G31" s="809" t="s">
        <v>3124</v>
      </c>
    </row>
    <row r="32" spans="1:8" ht="3" customHeight="1">
      <c r="F32" s="854"/>
    </row>
    <row r="33" spans="1:7" ht="12" customHeight="1">
      <c r="A33" s="809">
        <v>7</v>
      </c>
      <c r="C33" s="809" t="s">
        <v>3125</v>
      </c>
      <c r="F33" s="1477">
        <v>0</v>
      </c>
    </row>
    <row r="34" spans="1:7" ht="3" customHeight="1">
      <c r="F34" s="854"/>
    </row>
    <row r="35" spans="1:7" ht="12" customHeight="1">
      <c r="A35" s="809">
        <v>8</v>
      </c>
      <c r="C35" s="809" t="s">
        <v>3126</v>
      </c>
      <c r="E35" s="809" t="s">
        <v>2425</v>
      </c>
      <c r="F35" s="1478">
        <v>0.01</v>
      </c>
    </row>
    <row r="36" spans="1:7" ht="3" customHeight="1">
      <c r="F36" s="1477"/>
    </row>
    <row r="37" spans="1:7" ht="12" customHeight="1">
      <c r="A37" s="809">
        <v>9</v>
      </c>
      <c r="C37" s="809" t="s">
        <v>3127</v>
      </c>
      <c r="F37" s="1479">
        <v>24</v>
      </c>
      <c r="G37" s="809" t="s">
        <v>3128</v>
      </c>
    </row>
    <row r="38" spans="1:7" ht="3" customHeight="1">
      <c r="F38" s="1477"/>
    </row>
    <row r="39" spans="1:7" ht="12" customHeight="1">
      <c r="A39" s="809">
        <v>10</v>
      </c>
      <c r="C39" s="809" t="s">
        <v>3129</v>
      </c>
      <c r="E39" s="809" t="s">
        <v>2425</v>
      </c>
      <c r="F39" s="854">
        <f>'Part III-Sources of Funds'!L37*12</f>
        <v>120</v>
      </c>
      <c r="G39" s="809" t="s">
        <v>3128</v>
      </c>
    </row>
    <row r="40" spans="1:7" ht="3" customHeight="1">
      <c r="F40" s="854"/>
    </row>
    <row r="41" spans="1:7" ht="12" customHeight="1">
      <c r="A41" s="809">
        <v>11</v>
      </c>
      <c r="C41" s="809" t="s">
        <v>3130</v>
      </c>
      <c r="F41" s="1480">
        <v>24</v>
      </c>
      <c r="G41" s="809" t="s">
        <v>3128</v>
      </c>
    </row>
    <row r="42" spans="1:7" ht="3" customHeight="1"/>
    <row r="43" spans="1:7" ht="12" customHeight="1">
      <c r="A43" s="809">
        <v>12</v>
      </c>
      <c r="C43" s="809" t="s">
        <v>3131</v>
      </c>
      <c r="F43" s="1481" t="s">
        <v>3132</v>
      </c>
    </row>
    <row r="44" spans="1:7" ht="3" customHeight="1"/>
    <row r="45" spans="1:7" ht="12" customHeight="1">
      <c r="A45" s="809">
        <v>13</v>
      </c>
      <c r="C45" s="809" t="s">
        <v>3133</v>
      </c>
      <c r="E45" s="809" t="s">
        <v>2425</v>
      </c>
      <c r="F45" s="864" t="s">
        <v>3134</v>
      </c>
    </row>
    <row r="46" spans="1:7" ht="3" customHeight="1">
      <c r="F46" s="826"/>
    </row>
    <row r="47" spans="1:7" ht="12" customHeight="1">
      <c r="A47" s="809">
        <v>14</v>
      </c>
      <c r="C47" s="809" t="s">
        <v>3135</v>
      </c>
      <c r="E47" s="864" t="str">
        <f>'Part II-Development Team'!H14</f>
        <v>Tindall IV GP, Inc.</v>
      </c>
    </row>
    <row r="48" spans="1:7" ht="3" customHeight="1">
      <c r="E48" s="864"/>
    </row>
    <row r="49" spans="1:7" ht="12" customHeight="1">
      <c r="A49" s="809">
        <v>15</v>
      </c>
      <c r="C49" s="809" t="s">
        <v>4319</v>
      </c>
      <c r="E49" s="864" t="str">
        <f>'Part II-Development Team'!Q98</f>
        <v>Scott Spivey</v>
      </c>
      <c r="G49" s="864" t="str">
        <f>'Part II-Development Team'!H98</f>
        <v>Spivey, Pope, Green &amp; Greer</v>
      </c>
    </row>
    <row r="50" spans="1:7" ht="12" customHeight="1">
      <c r="C50" s="809" t="s">
        <v>3136</v>
      </c>
      <c r="E50" s="864">
        <f>'Part II-Development Team'!O102</f>
        <v>0</v>
      </c>
      <c r="F50" s="854"/>
    </row>
    <row r="51" spans="1:7" ht="3" customHeight="1">
      <c r="F51" s="854"/>
    </row>
    <row r="52" spans="1:7" ht="12" customHeight="1">
      <c r="A52" s="809">
        <v>16</v>
      </c>
      <c r="C52" s="809" t="s">
        <v>3137</v>
      </c>
      <c r="F52" s="1480">
        <f>Overview!C13</f>
        <v>65</v>
      </c>
    </row>
    <row r="53" spans="1:7" ht="3" customHeight="1">
      <c r="F53" s="854"/>
    </row>
    <row r="54" spans="1:7" ht="12" customHeight="1">
      <c r="A54" s="882">
        <v>17</v>
      </c>
      <c r="B54" s="882"/>
      <c r="C54" s="882" t="s">
        <v>3138</v>
      </c>
      <c r="D54" s="882"/>
      <c r="E54" s="882"/>
      <c r="F54" s="1482">
        <f>'Subsidy Layering WS'!K18</f>
        <v>65</v>
      </c>
      <c r="G54" s="882"/>
    </row>
    <row r="55" spans="1:7" ht="3" customHeight="1">
      <c r="F55" s="854"/>
    </row>
    <row r="56" spans="1:7" ht="12" customHeight="1">
      <c r="A56" s="809">
        <v>18</v>
      </c>
      <c r="C56" s="809" t="s">
        <v>3139</v>
      </c>
      <c r="F56" s="1482">
        <f>'Part VI-Revenues &amp; Expenses'!O61</f>
        <v>0</v>
      </c>
      <c r="G56" s="809" t="s">
        <v>4318</v>
      </c>
    </row>
    <row r="57" spans="1:7" ht="3" customHeight="1">
      <c r="F57" s="854"/>
    </row>
    <row r="58" spans="1:7" ht="12" customHeight="1">
      <c r="A58" s="809">
        <v>19</v>
      </c>
      <c r="C58" s="809" t="s">
        <v>3140</v>
      </c>
      <c r="F58" s="1483"/>
      <c r="G58" s="809" t="s">
        <v>3530</v>
      </c>
    </row>
    <row r="59" spans="1:7" ht="3" customHeight="1">
      <c r="F59" s="854"/>
    </row>
    <row r="60" spans="1:7" ht="12" customHeight="1">
      <c r="A60" s="809">
        <v>20</v>
      </c>
      <c r="C60" s="809" t="s">
        <v>3141</v>
      </c>
      <c r="F60" s="1484" t="s">
        <v>979</v>
      </c>
      <c r="G60" s="882"/>
    </row>
    <row r="61" spans="1:7" ht="3" customHeight="1"/>
    <row r="62" spans="1:7" ht="12" customHeight="1">
      <c r="A62" s="809">
        <v>21</v>
      </c>
      <c r="C62" s="809" t="s">
        <v>3545</v>
      </c>
      <c r="E62" s="1485" t="s">
        <v>3531</v>
      </c>
      <c r="F62" s="1486" t="s">
        <v>3532</v>
      </c>
      <c r="G62" s="1485" t="s">
        <v>3142</v>
      </c>
    </row>
    <row r="63" spans="1:7" ht="12" customHeight="1">
      <c r="E63" s="1485" t="s">
        <v>3531</v>
      </c>
      <c r="F63" s="1486" t="s">
        <v>3532</v>
      </c>
      <c r="G63" s="1485"/>
    </row>
    <row r="64" spans="1:7" ht="3" customHeight="1"/>
    <row r="65" spans="1:7" ht="12" customHeight="1">
      <c r="A65" s="809">
        <v>22</v>
      </c>
      <c r="C65" s="809" t="s">
        <v>3143</v>
      </c>
      <c r="E65" s="864" t="str">
        <f>Overview!H9</f>
        <v>Tindall Partners IV, L.P.</v>
      </c>
    </row>
    <row r="66" spans="1:7" ht="3" customHeight="1"/>
    <row r="67" spans="1:7" ht="12" customHeight="1">
      <c r="A67" s="809">
        <v>23</v>
      </c>
      <c r="C67" s="809" t="s">
        <v>3144</v>
      </c>
      <c r="F67" s="854" t="s">
        <v>3145</v>
      </c>
    </row>
    <row r="68" spans="1:7" ht="3" customHeight="1"/>
    <row r="69" spans="1:7" ht="12" customHeight="1">
      <c r="A69" s="809">
        <v>24</v>
      </c>
      <c r="C69" s="809" t="s">
        <v>3146</v>
      </c>
      <c r="E69" s="809" t="s">
        <v>2425</v>
      </c>
      <c r="F69" s="854">
        <v>20</v>
      </c>
      <c r="G69" s="809" t="s">
        <v>2485</v>
      </c>
    </row>
    <row r="70" spans="1:7" ht="3" customHeight="1"/>
    <row r="71" spans="1:7" ht="12" customHeight="1">
      <c r="A71" s="809">
        <v>25</v>
      </c>
      <c r="C71" s="809" t="s">
        <v>3147</v>
      </c>
      <c r="F71" s="1487">
        <f>'Part IV-A-Uses of Funds'!$G$122</f>
        <v>180450</v>
      </c>
    </row>
    <row r="72" spans="1:7" ht="3" customHeight="1">
      <c r="F72" s="1487"/>
    </row>
    <row r="73" spans="1:7" ht="12" customHeight="1">
      <c r="A73" s="809">
        <v>26</v>
      </c>
      <c r="C73" s="809" t="s">
        <v>3148</v>
      </c>
      <c r="F73" s="1487">
        <f>'Part IV-A-Uses of Funds'!$G$123</f>
        <v>0</v>
      </c>
    </row>
    <row r="74" spans="1:7" ht="3" customHeight="1">
      <c r="F74" s="1487"/>
    </row>
    <row r="75" spans="1:7" ht="12" customHeight="1">
      <c r="A75" s="809">
        <v>27</v>
      </c>
      <c r="C75" s="809" t="s">
        <v>3149</v>
      </c>
      <c r="F75" s="1488">
        <f>'Part IV-A-Uses of Funds'!$G$121</f>
        <v>74701</v>
      </c>
    </row>
    <row r="76" spans="1:7" ht="3" customHeight="1">
      <c r="F76" s="1487"/>
    </row>
    <row r="77" spans="1:7" ht="12" customHeight="1">
      <c r="A77" s="809">
        <v>28</v>
      </c>
      <c r="C77" s="809" t="s">
        <v>3150</v>
      </c>
      <c r="F77" s="1489"/>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809" customWidth="1"/>
    <col min="2" max="2" width="11" style="809" customWidth="1"/>
    <col min="3" max="3" width="31" style="809" customWidth="1"/>
    <col min="4" max="4" width="14" style="809" customWidth="1"/>
    <col min="5" max="10" width="11.28515625" style="809" customWidth="1"/>
    <col min="11" max="16384" width="9.140625" style="809"/>
  </cols>
  <sheetData>
    <row r="1" spans="1:13" ht="15">
      <c r="A1" s="3659" t="s">
        <v>3340</v>
      </c>
      <c r="B1" s="3659"/>
      <c r="C1" s="3659"/>
      <c r="D1" s="3659"/>
      <c r="E1" s="3659"/>
      <c r="F1" s="3659"/>
      <c r="G1" s="3659"/>
      <c r="H1" s="3659"/>
      <c r="I1" s="3659"/>
      <c r="J1" s="3659"/>
    </row>
    <row r="2" spans="1:13" ht="15">
      <c r="A2" s="3659" t="str">
        <f>Overview!E8&amp;"  "&amp;Overview!C8</f>
        <v>2018-013  Tindall Fields III</v>
      </c>
      <c r="B2" s="3659"/>
      <c r="C2" s="3659"/>
      <c r="D2" s="3659"/>
      <c r="E2" s="3659"/>
      <c r="F2" s="3659"/>
      <c r="G2" s="3659"/>
      <c r="H2" s="3659"/>
      <c r="I2" s="3659"/>
      <c r="J2" s="3659"/>
    </row>
    <row r="3" spans="1:13" ht="6" customHeight="1">
      <c r="K3" s="3658" t="s">
        <v>4312</v>
      </c>
      <c r="L3" s="3658"/>
      <c r="M3" s="3658"/>
    </row>
    <row r="4" spans="1:13" ht="12" customHeight="1">
      <c r="A4" s="850" t="s">
        <v>3151</v>
      </c>
      <c r="K4" s="3658"/>
      <c r="L4" s="3658"/>
      <c r="M4" s="3658"/>
    </row>
    <row r="5" spans="1:13" ht="12" customHeight="1">
      <c r="A5" s="809" t="s">
        <v>3152</v>
      </c>
      <c r="C5" s="851" t="str">
        <f>'Subsidy Layering Memo'!D6</f>
        <v>(Underwriter)</v>
      </c>
      <c r="I5" s="851"/>
      <c r="K5" s="3658"/>
      <c r="L5" s="3658"/>
      <c r="M5" s="3658"/>
    </row>
    <row r="6" spans="1:13" ht="6" customHeight="1">
      <c r="C6" s="746"/>
      <c r="D6" s="851"/>
      <c r="I6" s="851"/>
      <c r="K6" s="3658"/>
      <c r="L6" s="3658"/>
      <c r="M6" s="3658"/>
    </row>
    <row r="7" spans="1:13" ht="12" customHeight="1">
      <c r="A7" s="850" t="s">
        <v>3153</v>
      </c>
      <c r="C7" s="746"/>
      <c r="D7" s="851"/>
      <c r="I7" s="851"/>
      <c r="K7" s="3658"/>
      <c r="L7" s="3658"/>
      <c r="M7" s="3658"/>
    </row>
    <row r="8" spans="1:13" ht="12" customHeight="1">
      <c r="A8" s="809" t="s">
        <v>3154</v>
      </c>
      <c r="C8" s="851" t="str">
        <f>Overview!$H$9</f>
        <v>Tindall Partners IV, L.P.</v>
      </c>
      <c r="I8" s="851"/>
      <c r="K8" s="3658"/>
      <c r="L8" s="3658"/>
      <c r="M8" s="3658"/>
    </row>
    <row r="9" spans="1:13" ht="3" customHeight="1">
      <c r="C9" s="746"/>
      <c r="D9" s="851"/>
      <c r="I9" s="851"/>
    </row>
    <row r="10" spans="1:13" ht="12" customHeight="1">
      <c r="A10" s="809" t="s">
        <v>3155</v>
      </c>
      <c r="C10" s="1419" t="s">
        <v>1784</v>
      </c>
      <c r="I10" s="851"/>
    </row>
    <row r="11" spans="1:13" ht="12" customHeight="1">
      <c r="C11" s="1419" t="s">
        <v>1784</v>
      </c>
      <c r="I11" s="851"/>
    </row>
    <row r="12" spans="1:13" ht="12" customHeight="1">
      <c r="C12" s="851" t="s">
        <v>2696</v>
      </c>
      <c r="D12" s="872" t="s">
        <v>1784</v>
      </c>
      <c r="I12" s="851"/>
    </row>
    <row r="13" spans="1:13" ht="12" customHeight="1">
      <c r="C13" s="851" t="s">
        <v>3156</v>
      </c>
      <c r="D13" s="3662"/>
      <c r="E13" s="3662"/>
      <c r="F13" s="3662"/>
      <c r="G13" s="3662"/>
      <c r="H13" s="3662"/>
      <c r="I13" s="3662"/>
      <c r="J13" s="3662"/>
    </row>
    <row r="14" spans="1:13" ht="3" customHeight="1">
      <c r="G14" s="746"/>
      <c r="H14" s="851"/>
      <c r="I14" s="851"/>
    </row>
    <row r="15" spans="1:13" ht="12" customHeight="1">
      <c r="A15" s="809" t="s">
        <v>3157</v>
      </c>
      <c r="C15" s="853" t="str">
        <f>'Preview term'!E10</f>
        <v>Michael T. Austin</v>
      </c>
      <c r="G15" s="746"/>
      <c r="I15" s="851"/>
    </row>
    <row r="16" spans="1:13" ht="12" customHeight="1">
      <c r="A16" s="864" t="s">
        <v>4528</v>
      </c>
      <c r="C16" s="853" t="str">
        <f>'Part II-Development Team'!Q6</f>
        <v>Principal</v>
      </c>
      <c r="G16" s="746"/>
      <c r="I16" s="851"/>
    </row>
    <row r="17" spans="1:9" ht="3" customHeight="1">
      <c r="G17" s="746"/>
      <c r="H17" s="851"/>
      <c r="I17" s="851"/>
    </row>
    <row r="18" spans="1:9" ht="12" customHeight="1">
      <c r="A18" s="809" t="s">
        <v>3158</v>
      </c>
      <c r="C18" s="853" t="str">
        <f>'Preview term'!$E$7</f>
        <v>2015 Felton Avenue</v>
      </c>
      <c r="G18" s="746"/>
      <c r="I18" s="851"/>
    </row>
    <row r="19" spans="1:9" ht="12" customHeight="1">
      <c r="C19" s="853" t="str">
        <f>'Preview term'!$E$8</f>
        <v>Macon, GA 31201</v>
      </c>
      <c r="G19" s="746"/>
      <c r="I19" s="851"/>
    </row>
    <row r="20" spans="1:9" ht="3" customHeight="1">
      <c r="G20" s="746"/>
      <c r="H20" s="851"/>
      <c r="I20" s="851"/>
    </row>
    <row r="21" spans="1:9" ht="12" customHeight="1">
      <c r="A21" s="809" t="s">
        <v>3159</v>
      </c>
      <c r="C21" s="853" t="str">
        <f>CONCATENATE('Preview term'!E49," of  ",'Preview term'!G49)</f>
        <v>Scott Spivey of  Spivey, Pope, Green &amp; Greer</v>
      </c>
      <c r="G21" s="746"/>
      <c r="I21" s="851"/>
    </row>
    <row r="22" spans="1:9" ht="3" customHeight="1">
      <c r="C22" s="853"/>
      <c r="G22" s="746"/>
      <c r="I22" s="851"/>
    </row>
    <row r="23" spans="1:9" ht="12" customHeight="1">
      <c r="A23" s="809" t="s">
        <v>3160</v>
      </c>
      <c r="C23" s="853">
        <f>'Preview term'!E12</f>
        <v>4787525070</v>
      </c>
      <c r="G23" s="746"/>
      <c r="I23" s="851"/>
    </row>
    <row r="24" spans="1:9" ht="3" customHeight="1">
      <c r="C24" s="853"/>
      <c r="G24" s="746"/>
      <c r="I24" s="851"/>
    </row>
    <row r="25" spans="1:9" ht="12" customHeight="1">
      <c r="A25" s="809" t="s">
        <v>3161</v>
      </c>
      <c r="C25" s="1421" t="str">
        <f>'Preview term'!E11</f>
        <v>maustin@mcaonhousing.com</v>
      </c>
      <c r="G25" s="746"/>
    </row>
    <row r="26" spans="1:9" ht="6" customHeight="1">
      <c r="G26" s="746"/>
      <c r="H26" s="851"/>
      <c r="I26" s="851"/>
    </row>
    <row r="27" spans="1:9" ht="12" customHeight="1">
      <c r="A27" s="850" t="s">
        <v>3162</v>
      </c>
      <c r="G27" s="746"/>
      <c r="H27" s="851"/>
      <c r="I27" s="851"/>
    </row>
    <row r="28" spans="1:9" ht="12" customHeight="1">
      <c r="A28" s="809" t="s">
        <v>3163</v>
      </c>
      <c r="C28" s="853" t="str">
        <f>Overview!$C$8</f>
        <v>Tindall Fields III</v>
      </c>
      <c r="I28" s="851"/>
    </row>
    <row r="29" spans="1:9" ht="3" customHeight="1">
      <c r="C29" s="853"/>
      <c r="I29" s="851"/>
    </row>
    <row r="30" spans="1:9" ht="12" customHeight="1">
      <c r="A30" s="809" t="s">
        <v>3164</v>
      </c>
      <c r="C30" s="853" t="str">
        <f>'Preview term'!E16</f>
        <v>TBD</v>
      </c>
      <c r="I30" s="851"/>
    </row>
    <row r="31" spans="1:9">
      <c r="C31" s="851" t="str">
        <f>'Preview term'!E17</f>
        <v>Macon, GA 31201</v>
      </c>
      <c r="I31" s="851"/>
    </row>
    <row r="32" spans="1:9" ht="3" customHeight="1">
      <c r="C32" s="746"/>
      <c r="D32" s="746"/>
      <c r="I32" s="746"/>
    </row>
    <row r="33" spans="1:10" ht="12" customHeight="1">
      <c r="A33" s="809" t="s">
        <v>3165</v>
      </c>
      <c r="C33" s="746" t="s">
        <v>3166</v>
      </c>
      <c r="D33" s="1420">
        <f>'Preview term'!F54</f>
        <v>65</v>
      </c>
      <c r="I33" s="746"/>
    </row>
    <row r="34" spans="1:10" ht="12" customHeight="1">
      <c r="C34" s="746" t="s">
        <v>3167</v>
      </c>
      <c r="D34" s="855">
        <f>'Subsidy Layering WS'!H12-'Subsidy Layering WS'!D12</f>
        <v>0</v>
      </c>
      <c r="I34" s="746"/>
    </row>
    <row r="35" spans="1:10" ht="12" customHeight="1">
      <c r="C35" s="746" t="s">
        <v>3168</v>
      </c>
      <c r="D35" s="856">
        <f>SUM(D33:D34)</f>
        <v>65</v>
      </c>
      <c r="I35" s="746"/>
    </row>
    <row r="36" spans="1:10" ht="3" customHeight="1">
      <c r="C36" s="746"/>
      <c r="D36" s="746"/>
      <c r="I36" s="746"/>
    </row>
    <row r="37" spans="1:10" ht="12" customHeight="1">
      <c r="A37" s="809" t="s">
        <v>3169</v>
      </c>
      <c r="C37" s="1485" t="s">
        <v>1784</v>
      </c>
      <c r="D37" s="1418">
        <f>'Preview term'!F56</f>
        <v>0</v>
      </c>
      <c r="E37" s="746" t="s">
        <v>3170</v>
      </c>
      <c r="I37" s="746"/>
    </row>
    <row r="38" spans="1:10" ht="3" customHeight="1">
      <c r="G38" s="857"/>
      <c r="H38" s="746"/>
      <c r="I38" s="746"/>
    </row>
    <row r="39" spans="1:10" ht="25.5" customHeight="1">
      <c r="A39" s="858" t="s">
        <v>3171</v>
      </c>
      <c r="C39" s="3660"/>
      <c r="D39" s="3660"/>
      <c r="E39" s="3660"/>
      <c r="F39" s="3660"/>
      <c r="G39" s="3660"/>
      <c r="H39" s="3660"/>
      <c r="I39" s="3660"/>
      <c r="J39" s="3660"/>
    </row>
    <row r="40" spans="1:10" ht="3" customHeight="1">
      <c r="G40" s="746"/>
      <c r="H40" s="746"/>
      <c r="I40" s="746"/>
    </row>
    <row r="41" spans="1:10" ht="25.5" customHeight="1">
      <c r="A41" s="858" t="s">
        <v>3172</v>
      </c>
      <c r="C41" s="3661" t="s">
        <v>3533</v>
      </c>
      <c r="D41" s="3661"/>
      <c r="E41" s="3661"/>
      <c r="F41" s="3661"/>
      <c r="G41" s="3661"/>
      <c r="H41" s="3661"/>
      <c r="I41" s="3661"/>
      <c r="J41" s="3661"/>
    </row>
    <row r="42" spans="1:10" ht="3" customHeight="1">
      <c r="C42" s="591"/>
      <c r="D42" s="591"/>
      <c r="E42" s="591"/>
      <c r="F42" s="591"/>
      <c r="G42" s="591"/>
      <c r="H42" s="592"/>
      <c r="I42" s="593"/>
      <c r="J42" s="592"/>
    </row>
    <row r="43" spans="1:10" ht="12" customHeight="1">
      <c r="A43" s="809" t="s">
        <v>3173</v>
      </c>
      <c r="C43" s="678" t="str">
        <f>'Part I-Project Information'!J39</f>
        <v>Bibb</v>
      </c>
      <c r="D43" s="591"/>
      <c r="F43" s="592"/>
      <c r="I43" s="593"/>
      <c r="J43" s="592"/>
    </row>
    <row r="44" spans="1:10" ht="3" customHeight="1">
      <c r="C44" s="591"/>
      <c r="D44" s="591"/>
      <c r="E44" s="591"/>
      <c r="F44" s="592"/>
      <c r="I44" s="593"/>
      <c r="J44" s="592"/>
    </row>
    <row r="45" spans="1:10" ht="12" customHeight="1">
      <c r="A45" s="809" t="s">
        <v>3174</v>
      </c>
      <c r="C45" s="872" t="s">
        <v>1784</v>
      </c>
      <c r="I45" s="593"/>
      <c r="J45" s="592"/>
    </row>
    <row r="46" spans="1:10" ht="3" customHeight="1">
      <c r="C46" s="746"/>
      <c r="D46" s="859"/>
      <c r="I46" s="746"/>
    </row>
    <row r="47" spans="1:10" ht="12" customHeight="1">
      <c r="A47" s="809" t="s">
        <v>3175</v>
      </c>
      <c r="C47" s="860"/>
      <c r="I47" s="861"/>
      <c r="J47" s="861"/>
    </row>
    <row r="48" spans="1:10" ht="3" customHeight="1">
      <c r="D48" s="861"/>
      <c r="E48" s="861"/>
      <c r="F48" s="861"/>
      <c r="G48" s="862"/>
      <c r="H48" s="746"/>
      <c r="I48" s="861"/>
      <c r="J48" s="861"/>
    </row>
    <row r="49" spans="1:10" ht="12" customHeight="1">
      <c r="A49" s="746"/>
      <c r="B49" s="809" t="s">
        <v>3176</v>
      </c>
      <c r="C49" s="3661" t="s">
        <v>580</v>
      </c>
      <c r="D49" s="3661"/>
      <c r="E49" s="3661"/>
      <c r="F49" s="3661"/>
      <c r="G49" s="3661"/>
      <c r="H49" s="3661"/>
      <c r="I49" s="3661"/>
      <c r="J49" s="3661"/>
    </row>
    <row r="50" spans="1:10" ht="12" customHeight="1">
      <c r="C50" s="3666" t="s">
        <v>1821</v>
      </c>
      <c r="D50" s="3666"/>
      <c r="E50" s="3666"/>
      <c r="F50" s="3666"/>
      <c r="G50" s="3666"/>
      <c r="H50" s="3666"/>
      <c r="I50" s="3666"/>
      <c r="J50" s="3666"/>
    </row>
    <row r="51" spans="1:10" ht="3" customHeight="1">
      <c r="D51" s="861"/>
      <c r="E51" s="861"/>
      <c r="F51" s="861"/>
      <c r="G51" s="862"/>
      <c r="H51" s="746"/>
      <c r="I51" s="861"/>
      <c r="J51" s="861"/>
    </row>
    <row r="52" spans="1:10" ht="12" customHeight="1">
      <c r="A52" s="858" t="s">
        <v>3177</v>
      </c>
      <c r="B52" s="858"/>
      <c r="C52" s="863" t="s">
        <v>3178</v>
      </c>
      <c r="D52" s="863" t="s">
        <v>3534</v>
      </c>
      <c r="E52" s="3667"/>
      <c r="F52" s="3667"/>
      <c r="G52" s="3667"/>
      <c r="H52" s="3667"/>
      <c r="I52" s="3667"/>
      <c r="J52" s="3667"/>
    </row>
    <row r="53" spans="1:10" ht="12" customHeight="1">
      <c r="A53" s="858"/>
      <c r="B53" s="858"/>
      <c r="C53" s="858"/>
      <c r="D53" s="863" t="s">
        <v>3535</v>
      </c>
      <c r="E53" s="3668"/>
      <c r="F53" s="3668"/>
      <c r="G53" s="3668"/>
      <c r="H53" s="3668"/>
      <c r="I53" s="3668"/>
      <c r="J53" s="3668"/>
    </row>
    <row r="54" spans="1:10" ht="12" customHeight="1">
      <c r="A54" s="850" t="s">
        <v>3179</v>
      </c>
      <c r="G54" s="746"/>
      <c r="H54" s="746"/>
      <c r="I54" s="746"/>
    </row>
    <row r="55" spans="1:10" ht="18" customHeight="1">
      <c r="A55" s="809" t="s">
        <v>3180</v>
      </c>
      <c r="C55" s="852" t="str">
        <f>Overview!C10</f>
        <v>Tindall IV GP, Inc.</v>
      </c>
      <c r="G55" s="746"/>
      <c r="I55" s="746"/>
    </row>
    <row r="56" spans="1:10" ht="3" customHeight="1">
      <c r="C56" s="852"/>
      <c r="G56" s="746"/>
      <c r="I56" s="746"/>
    </row>
    <row r="57" spans="1:10" ht="12" customHeight="1">
      <c r="A57" s="809" t="s">
        <v>3181</v>
      </c>
      <c r="C57" s="852" t="str">
        <f>Overview!C11</f>
        <v/>
      </c>
      <c r="E57" s="852" t="str">
        <f>Overview!E11</f>
        <v/>
      </c>
      <c r="G57" s="746"/>
      <c r="I57" s="746"/>
    </row>
    <row r="58" spans="1:10" ht="3" customHeight="1">
      <c r="C58" s="852"/>
      <c r="G58" s="746"/>
      <c r="I58" s="746"/>
    </row>
    <row r="59" spans="1:10" ht="12" customHeight="1">
      <c r="A59" s="809" t="s">
        <v>3182</v>
      </c>
      <c r="C59" s="852" t="s">
        <v>2842</v>
      </c>
      <c r="G59" s="746"/>
      <c r="I59" s="746"/>
    </row>
    <row r="60" spans="1:10" ht="6" customHeight="1">
      <c r="G60" s="746"/>
      <c r="H60" s="746"/>
      <c r="I60" s="746"/>
    </row>
    <row r="61" spans="1:10" ht="12" customHeight="1">
      <c r="A61" s="850" t="s">
        <v>3183</v>
      </c>
      <c r="G61" s="746"/>
      <c r="H61" s="746"/>
      <c r="I61" s="746"/>
    </row>
    <row r="62" spans="1:10" ht="12" customHeight="1">
      <c r="A62" s="809" t="s">
        <v>3184</v>
      </c>
      <c r="C62" s="809" t="s">
        <v>3185</v>
      </c>
      <c r="D62" s="1422">
        <f>'Preview term'!F30</f>
        <v>1400000</v>
      </c>
      <c r="G62" s="746"/>
      <c r="I62" s="746"/>
    </row>
    <row r="63" spans="1:10" ht="3" customHeight="1">
      <c r="D63" s="864"/>
      <c r="G63" s="746"/>
      <c r="H63" s="865"/>
      <c r="I63" s="746"/>
    </row>
    <row r="64" spans="1:10" ht="12" customHeight="1">
      <c r="A64" s="809" t="s">
        <v>3186</v>
      </c>
      <c r="C64" s="809" t="s">
        <v>3188</v>
      </c>
      <c r="D64" s="852" t="s">
        <v>979</v>
      </c>
      <c r="G64" s="746"/>
      <c r="I64" s="746"/>
    </row>
    <row r="65" spans="1:10" ht="3" customHeight="1">
      <c r="D65" s="864"/>
      <c r="G65" s="746"/>
      <c r="H65" s="746"/>
      <c r="I65" s="746"/>
    </row>
    <row r="66" spans="1:10" ht="12" customHeight="1">
      <c r="A66" s="809" t="s">
        <v>3189</v>
      </c>
      <c r="C66" s="1423" t="s">
        <v>1784</v>
      </c>
      <c r="D66" s="878"/>
      <c r="I66" s="746"/>
    </row>
    <row r="67" spans="1:10" ht="12" customHeight="1">
      <c r="C67" s="809" t="s">
        <v>3190</v>
      </c>
      <c r="D67" s="1472" t="s">
        <v>1784</v>
      </c>
      <c r="I67" s="746"/>
    </row>
    <row r="68" spans="1:10" ht="12" customHeight="1">
      <c r="C68" s="809" t="s">
        <v>3156</v>
      </c>
      <c r="D68" s="3662"/>
      <c r="E68" s="3662"/>
      <c r="F68" s="3662"/>
      <c r="G68" s="3662"/>
      <c r="H68" s="3662"/>
      <c r="I68" s="3662"/>
      <c r="J68" s="3662"/>
    </row>
    <row r="69" spans="1:10" ht="3" customHeight="1">
      <c r="D69" s="864"/>
      <c r="E69" s="746"/>
      <c r="F69" s="746"/>
      <c r="I69" s="746"/>
    </row>
    <row r="70" spans="1:10" ht="12" customHeight="1">
      <c r="A70" s="809" t="s">
        <v>3191</v>
      </c>
      <c r="C70" s="809" t="s">
        <v>2425</v>
      </c>
      <c r="D70" s="872" t="s">
        <v>1784</v>
      </c>
      <c r="I70" s="746"/>
    </row>
    <row r="71" spans="1:10" ht="3" customHeight="1">
      <c r="D71" s="746"/>
      <c r="E71" s="746"/>
      <c r="I71" s="746"/>
    </row>
    <row r="72" spans="1:10" ht="12" customHeight="1">
      <c r="A72" s="809" t="s">
        <v>3192</v>
      </c>
      <c r="C72" s="1423" t="s">
        <v>1784</v>
      </c>
      <c r="I72" s="746"/>
    </row>
    <row r="73" spans="1:10" ht="3" customHeight="1">
      <c r="C73" s="864"/>
      <c r="G73" s="866"/>
      <c r="H73" s="746"/>
      <c r="I73" s="746"/>
    </row>
    <row r="74" spans="1:10" ht="12" customHeight="1">
      <c r="A74" s="809" t="s">
        <v>3193</v>
      </c>
      <c r="C74" s="864" t="s">
        <v>3194</v>
      </c>
      <c r="D74" s="1425">
        <v>0</v>
      </c>
      <c r="J74" s="746"/>
    </row>
    <row r="75" spans="1:10" ht="12" customHeight="1">
      <c r="C75" s="867" t="s">
        <v>3352</v>
      </c>
      <c r="D75" s="1426">
        <v>0.01</v>
      </c>
      <c r="J75" s="746"/>
    </row>
    <row r="76" spans="1:10" ht="3" customHeight="1">
      <c r="C76" s="864"/>
      <c r="D76" s="864"/>
      <c r="G76" s="746"/>
      <c r="H76" s="746"/>
      <c r="I76" s="746"/>
    </row>
    <row r="77" spans="1:10" ht="12" customHeight="1">
      <c r="A77" s="809" t="s">
        <v>3195</v>
      </c>
      <c r="C77" s="864" t="s">
        <v>3584</v>
      </c>
      <c r="D77" s="869">
        <v>24</v>
      </c>
      <c r="I77" s="746"/>
    </row>
    <row r="78" spans="1:10" ht="3" customHeight="1">
      <c r="D78" s="864"/>
      <c r="E78" s="746"/>
      <c r="F78" s="746"/>
      <c r="I78" s="746"/>
    </row>
    <row r="79" spans="1:10" ht="12" customHeight="1">
      <c r="A79" s="809" t="s">
        <v>3196</v>
      </c>
      <c r="C79" s="809" t="s">
        <v>2425</v>
      </c>
      <c r="D79" s="870">
        <f>'Preview term'!F39</f>
        <v>120</v>
      </c>
      <c r="E79" s="746" t="s">
        <v>3538</v>
      </c>
      <c r="I79" s="746"/>
    </row>
    <row r="80" spans="1:10" ht="3" customHeight="1">
      <c r="D80" s="864"/>
      <c r="G80" s="746"/>
      <c r="H80" s="746"/>
      <c r="I80" s="746"/>
    </row>
    <row r="81" spans="1:9" ht="12" customHeight="1">
      <c r="A81" s="809" t="s">
        <v>3197</v>
      </c>
      <c r="D81" s="1424">
        <v>0</v>
      </c>
      <c r="E81" s="871">
        <f>D81*12</f>
        <v>0</v>
      </c>
      <c r="F81" s="746" t="s">
        <v>3585</v>
      </c>
    </row>
    <row r="82" spans="1:9" ht="3" customHeight="1">
      <c r="D82" s="852"/>
      <c r="E82" s="746"/>
      <c r="G82" s="746"/>
    </row>
    <row r="83" spans="1:9" ht="12" customHeight="1">
      <c r="A83" s="809" t="s">
        <v>3198</v>
      </c>
      <c r="D83" s="1472" t="s">
        <v>979</v>
      </c>
      <c r="E83" s="746" t="s">
        <v>3199</v>
      </c>
      <c r="G83" s="746"/>
    </row>
    <row r="84" spans="1:9" ht="3" customHeight="1">
      <c r="G84" s="746"/>
      <c r="H84" s="746"/>
      <c r="I84" s="746"/>
    </row>
    <row r="85" spans="1:9" ht="12" customHeight="1">
      <c r="A85" s="809" t="s">
        <v>3200</v>
      </c>
      <c r="C85" s="1422">
        <f>'Part VII-Pro Forma'!K67</f>
        <v>562382.17364357063</v>
      </c>
      <c r="D85" s="873" t="s">
        <v>3536</v>
      </c>
      <c r="I85" s="746"/>
    </row>
    <row r="86" spans="1:9" ht="3" customHeight="1">
      <c r="C86" s="746" t="s">
        <v>1784</v>
      </c>
      <c r="D86" s="746"/>
      <c r="E86" s="746"/>
      <c r="I86" s="746"/>
    </row>
    <row r="87" spans="1:9" ht="12" customHeight="1">
      <c r="A87" s="809" t="s">
        <v>3201</v>
      </c>
      <c r="B87" s="874"/>
      <c r="C87" s="1423" t="s">
        <v>1784</v>
      </c>
      <c r="D87" s="1428"/>
      <c r="I87" s="746"/>
    </row>
    <row r="88" spans="1:9" ht="3" customHeight="1">
      <c r="G88" s="746"/>
      <c r="H88" s="746"/>
      <c r="I88" s="746"/>
    </row>
    <row r="89" spans="1:9" ht="12" customHeight="1">
      <c r="A89" s="809" t="s">
        <v>3202</v>
      </c>
      <c r="C89" s="864" t="s">
        <v>3203</v>
      </c>
      <c r="D89" s="852" t="s">
        <v>3132</v>
      </c>
      <c r="I89" s="746"/>
    </row>
    <row r="90" spans="1:9" ht="12" customHeight="1">
      <c r="C90" s="864" t="s">
        <v>3204</v>
      </c>
      <c r="D90" s="852" t="s">
        <v>979</v>
      </c>
      <c r="I90" s="746"/>
    </row>
    <row r="91" spans="1:9" ht="3" customHeight="1">
      <c r="G91" s="746"/>
      <c r="H91" s="746"/>
      <c r="I91" s="746"/>
    </row>
    <row r="92" spans="1:9" ht="12" customHeight="1">
      <c r="A92" s="809" t="s">
        <v>3205</v>
      </c>
      <c r="C92" s="864" t="s">
        <v>3194</v>
      </c>
      <c r="D92" s="746" t="s">
        <v>3206</v>
      </c>
      <c r="E92" s="864" t="str">
        <f>'Part III-Sources of Funds'!H19</f>
        <v>Macon-Bibb County Urban Development Authority</v>
      </c>
      <c r="I92" s="746"/>
    </row>
    <row r="93" spans="1:9" ht="12" customHeight="1">
      <c r="C93" s="878"/>
      <c r="D93" s="746"/>
      <c r="E93" s="864" t="s">
        <v>1810</v>
      </c>
      <c r="F93" s="3669"/>
      <c r="G93" s="3669"/>
      <c r="H93" s="3669"/>
      <c r="I93" s="746"/>
    </row>
    <row r="94" spans="1:9" ht="12" customHeight="1">
      <c r="C94" s="864"/>
      <c r="D94" s="746"/>
      <c r="E94" s="864" t="s">
        <v>1998</v>
      </c>
      <c r="F94" s="3670"/>
      <c r="G94" s="3670"/>
      <c r="H94" s="3670"/>
      <c r="I94" s="746"/>
    </row>
    <row r="95" spans="1:9" ht="12" customHeight="1">
      <c r="C95" s="864"/>
      <c r="D95" s="746"/>
      <c r="E95" s="864" t="s">
        <v>1813</v>
      </c>
      <c r="F95" s="3665"/>
      <c r="G95" s="3665"/>
      <c r="H95" s="3665"/>
      <c r="I95" s="746"/>
    </row>
    <row r="96" spans="1:9" ht="12" customHeight="1">
      <c r="B96" s="854"/>
      <c r="C96" s="867" t="s">
        <v>3352</v>
      </c>
      <c r="D96" s="746" t="s">
        <v>3206</v>
      </c>
      <c r="E96" s="864" t="str">
        <f>'Part III-Sources of Funds'!E37</f>
        <v>Macon-Bibb Co. Urban Development Authority</v>
      </c>
      <c r="I96" s="746"/>
    </row>
    <row r="97" spans="1:10" ht="12" customHeight="1">
      <c r="C97" s="864"/>
      <c r="D97" s="746"/>
      <c r="E97" s="864" t="s">
        <v>1810</v>
      </c>
      <c r="F97" s="3669"/>
      <c r="G97" s="3669"/>
      <c r="H97" s="3669"/>
      <c r="I97" s="746"/>
    </row>
    <row r="98" spans="1:10" ht="12" customHeight="1">
      <c r="C98" s="864"/>
      <c r="D98" s="746"/>
      <c r="E98" s="864" t="s">
        <v>1998</v>
      </c>
      <c r="F98" s="3670"/>
      <c r="G98" s="3670"/>
      <c r="H98" s="3670"/>
      <c r="I98" s="746"/>
    </row>
    <row r="99" spans="1:10" ht="12" customHeight="1">
      <c r="C99" s="864"/>
      <c r="D99" s="746"/>
      <c r="E99" s="864" t="s">
        <v>1813</v>
      </c>
      <c r="F99" s="3665"/>
      <c r="G99" s="3665"/>
      <c r="H99" s="3665"/>
      <c r="I99" s="746"/>
    </row>
    <row r="100" spans="1:10" ht="3" customHeight="1">
      <c r="D100" s="875"/>
      <c r="G100" s="746"/>
      <c r="H100" s="746"/>
      <c r="I100" s="746"/>
    </row>
    <row r="101" spans="1:10" ht="12" customHeight="1">
      <c r="A101" s="809" t="s">
        <v>3207</v>
      </c>
      <c r="D101" s="1472" t="str">
        <f>'Part IX A-Scoring Criteria'!O318</f>
        <v>Yes</v>
      </c>
      <c r="E101" s="746" t="s">
        <v>3187</v>
      </c>
      <c r="G101" s="809">
        <f>'Part IX A-Scoring Criteria'!O316</f>
        <v>1</v>
      </c>
      <c r="H101" s="809" t="s">
        <v>3537</v>
      </c>
      <c r="I101" s="746"/>
    </row>
    <row r="102" spans="1:10" ht="3" customHeight="1">
      <c r="E102" s="746"/>
      <c r="F102" s="746"/>
      <c r="I102" s="746"/>
    </row>
    <row r="103" spans="1:10" ht="12" customHeight="1">
      <c r="A103" s="746" t="s">
        <v>3353</v>
      </c>
      <c r="D103" s="809" t="s">
        <v>979</v>
      </c>
      <c r="E103" s="746"/>
      <c r="I103" s="746"/>
    </row>
    <row r="104" spans="1:10" ht="6" customHeight="1">
      <c r="G104" s="746"/>
      <c r="H104" s="746"/>
      <c r="I104" s="746"/>
    </row>
    <row r="105" spans="1:10" ht="12" customHeight="1">
      <c r="A105" s="850" t="s">
        <v>3354</v>
      </c>
      <c r="I105" s="746"/>
    </row>
    <row r="106" spans="1:10" ht="12" customHeight="1">
      <c r="A106" s="809" t="s">
        <v>3208</v>
      </c>
      <c r="C106" s="1427" t="s">
        <v>1784</v>
      </c>
      <c r="D106" s="3672"/>
      <c r="E106" s="3672"/>
      <c r="F106" s="3672"/>
      <c r="G106" s="3672"/>
      <c r="H106" s="3672"/>
      <c r="I106" s="3672"/>
      <c r="J106" s="3673"/>
    </row>
    <row r="107" spans="1:10" ht="3" customHeight="1">
      <c r="C107" s="864"/>
      <c r="D107" s="746"/>
      <c r="I107" s="746"/>
    </row>
    <row r="108" spans="1:10" ht="12" customHeight="1">
      <c r="A108" s="809" t="s">
        <v>3209</v>
      </c>
      <c r="C108" s="1472" t="s">
        <v>1784</v>
      </c>
    </row>
    <row r="109" spans="1:10" ht="3" customHeight="1">
      <c r="C109" s="864"/>
      <c r="E109" s="746"/>
      <c r="F109" s="746"/>
      <c r="I109" s="746"/>
    </row>
    <row r="110" spans="1:10" ht="12" customHeight="1">
      <c r="A110" s="809" t="s">
        <v>3210</v>
      </c>
      <c r="C110" s="1472" t="s">
        <v>1784</v>
      </c>
      <c r="I110" s="746"/>
    </row>
    <row r="111" spans="1:10" ht="3" customHeight="1">
      <c r="D111" s="857"/>
      <c r="I111" s="746"/>
    </row>
    <row r="112" spans="1:10" ht="12" customHeight="1">
      <c r="A112" s="809" t="s">
        <v>3211</v>
      </c>
      <c r="D112" s="870">
        <v>24</v>
      </c>
      <c r="E112" s="746" t="s">
        <v>3212</v>
      </c>
      <c r="I112" s="746"/>
    </row>
    <row r="113" spans="1:10" ht="12" customHeight="1">
      <c r="C113" s="852" t="s">
        <v>4321</v>
      </c>
      <c r="I113" s="746"/>
    </row>
    <row r="114" spans="1:10" ht="12" customHeight="1">
      <c r="C114" s="852" t="s">
        <v>4320</v>
      </c>
      <c r="G114" s="746"/>
      <c r="I114" s="746"/>
    </row>
    <row r="115" spans="1:10" ht="3" customHeight="1">
      <c r="G115" s="746"/>
      <c r="H115" s="746"/>
      <c r="I115" s="746"/>
    </row>
    <row r="116" spans="1:10" ht="12" customHeight="1">
      <c r="A116" s="809" t="s">
        <v>3213</v>
      </c>
      <c r="D116" s="876">
        <v>0</v>
      </c>
      <c r="E116" s="877" t="s">
        <v>3214</v>
      </c>
      <c r="I116" s="746"/>
    </row>
    <row r="117" spans="1:10" ht="3" customHeight="1">
      <c r="D117" s="864"/>
      <c r="E117" s="746"/>
      <c r="F117" s="746"/>
      <c r="I117" s="746"/>
    </row>
    <row r="118" spans="1:10" ht="12" customHeight="1">
      <c r="A118" s="809" t="s">
        <v>3215</v>
      </c>
      <c r="C118" s="1423" t="s">
        <v>1784</v>
      </c>
      <c r="D118" s="878"/>
      <c r="I118" s="746"/>
    </row>
    <row r="119" spans="1:10" ht="12" customHeight="1">
      <c r="C119" s="746" t="s">
        <v>3216</v>
      </c>
      <c r="D119" s="868"/>
      <c r="E119" s="3675" t="s">
        <v>4322</v>
      </c>
      <c r="F119" s="3675"/>
      <c r="G119" s="3675"/>
      <c r="H119" s="3675"/>
      <c r="I119" s="3675"/>
      <c r="J119" s="3675"/>
    </row>
    <row r="120" spans="1:10" ht="12" customHeight="1">
      <c r="C120" s="746" t="s">
        <v>3217</v>
      </c>
      <c r="D120" s="1429"/>
      <c r="E120" s="3675"/>
      <c r="F120" s="3675"/>
      <c r="G120" s="3675"/>
      <c r="H120" s="3675"/>
      <c r="I120" s="3675"/>
      <c r="J120" s="3675"/>
    </row>
    <row r="121" spans="1:10" ht="12" customHeight="1">
      <c r="C121" s="746" t="s">
        <v>3218</v>
      </c>
      <c r="D121" s="1429"/>
      <c r="E121" s="3675"/>
      <c r="F121" s="3675"/>
      <c r="G121" s="3675"/>
      <c r="H121" s="3675"/>
      <c r="I121" s="3675"/>
      <c r="J121" s="3675"/>
    </row>
    <row r="122" spans="1:10" ht="3" customHeight="1">
      <c r="E122" s="746"/>
      <c r="F122" s="746"/>
      <c r="I122" s="746"/>
    </row>
    <row r="123" spans="1:10" ht="12" customHeight="1">
      <c r="A123" s="809" t="s">
        <v>3219</v>
      </c>
      <c r="D123" s="879" t="s">
        <v>3187</v>
      </c>
      <c r="I123" s="746"/>
    </row>
    <row r="124" spans="1:10" ht="3" customHeight="1">
      <c r="D124" s="746"/>
      <c r="I124" s="746"/>
    </row>
    <row r="125" spans="1:10" ht="12" customHeight="1">
      <c r="A125" s="809" t="s">
        <v>3220</v>
      </c>
      <c r="D125" s="746" t="s">
        <v>3187</v>
      </c>
      <c r="I125" s="746"/>
    </row>
    <row r="126" spans="1:10" ht="3" customHeight="1">
      <c r="G126" s="746"/>
      <c r="H126" s="746"/>
      <c r="I126" s="746"/>
    </row>
    <row r="127" spans="1:10" ht="12" customHeight="1">
      <c r="A127" s="809" t="s">
        <v>3221</v>
      </c>
      <c r="D127" s="746" t="s">
        <v>3222</v>
      </c>
      <c r="G127" s="746"/>
      <c r="I127" s="746"/>
    </row>
    <row r="128" spans="1:10" ht="7.5" customHeight="1">
      <c r="G128" s="746"/>
      <c r="H128" s="746"/>
      <c r="I128" s="746"/>
    </row>
    <row r="129" spans="1:10" ht="12" customHeight="1">
      <c r="A129" s="850" t="s">
        <v>3223</v>
      </c>
      <c r="G129" s="746"/>
      <c r="H129" s="746"/>
      <c r="I129" s="746"/>
    </row>
    <row r="130" spans="1:10" ht="12" customHeight="1">
      <c r="A130" s="809" t="s">
        <v>3224</v>
      </c>
      <c r="C130" s="852" t="str">
        <f>Overview!H11</f>
        <v>In-Fill Housing II, Inc.</v>
      </c>
      <c r="D130" s="852">
        <f>Overview!K11</f>
        <v>0</v>
      </c>
      <c r="G130" s="852">
        <f>Overview!M11</f>
        <v>0</v>
      </c>
      <c r="I130" s="746"/>
    </row>
    <row r="131" spans="1:10" ht="12" customHeight="1">
      <c r="G131" s="746"/>
      <c r="I131" s="746"/>
    </row>
    <row r="132" spans="1:10" ht="3" customHeight="1">
      <c r="C132" s="746"/>
      <c r="G132" s="746"/>
      <c r="I132" s="746"/>
    </row>
    <row r="133" spans="1:10" ht="12" customHeight="1">
      <c r="A133" s="809" t="s">
        <v>3225</v>
      </c>
      <c r="C133" s="880">
        <f>('Part IV-A-Uses of Funds'!G118-'Part III-Sources of Funds'!I42)/2</f>
        <v>800000</v>
      </c>
      <c r="G133" s="746"/>
      <c r="I133" s="746"/>
    </row>
    <row r="134" spans="1:10" ht="3" customHeight="1">
      <c r="C134" s="746"/>
      <c r="G134" s="746"/>
      <c r="I134" s="746"/>
    </row>
    <row r="135" spans="1:10" ht="12" customHeight="1">
      <c r="A135" s="809" t="s">
        <v>3226</v>
      </c>
      <c r="C135" s="1472" t="s">
        <v>3227</v>
      </c>
      <c r="G135" s="746"/>
      <c r="I135" s="746"/>
    </row>
    <row r="136" spans="1:10" ht="3" customHeight="1">
      <c r="C136" s="852"/>
      <c r="G136" s="746"/>
      <c r="I136" s="746"/>
    </row>
    <row r="137" spans="1:10" ht="12" customHeight="1">
      <c r="A137" s="809" t="s">
        <v>3228</v>
      </c>
      <c r="C137" s="852" t="str">
        <f>'Preview term'!E19</f>
        <v>Macon Housing Authority</v>
      </c>
      <c r="G137" s="746"/>
      <c r="I137" s="746"/>
      <c r="J137" s="881"/>
    </row>
    <row r="138" spans="1:10" ht="3" customHeight="1">
      <c r="C138" s="852"/>
      <c r="G138" s="746"/>
      <c r="I138" s="746"/>
    </row>
    <row r="139" spans="1:10" ht="12" customHeight="1">
      <c r="A139" s="809" t="s">
        <v>3229</v>
      </c>
      <c r="C139" s="853" t="str">
        <f>C8</f>
        <v>Tindall Partners IV, L.P.</v>
      </c>
      <c r="G139" s="746"/>
      <c r="I139" s="851"/>
      <c r="J139" s="882"/>
    </row>
    <row r="140" spans="1:10" ht="3" customHeight="1">
      <c r="C140" s="853"/>
      <c r="G140" s="746"/>
      <c r="I140" s="851"/>
      <c r="J140" s="882"/>
    </row>
    <row r="141" spans="1:10" ht="12" customHeight="1">
      <c r="A141" s="809" t="s">
        <v>3230</v>
      </c>
      <c r="C141" s="853" t="str">
        <f>C18</f>
        <v>2015 Felton Avenue</v>
      </c>
      <c r="G141" s="746"/>
      <c r="I141" s="851"/>
      <c r="J141" s="882"/>
    </row>
    <row r="142" spans="1:10">
      <c r="C142" s="853" t="str">
        <f>C19</f>
        <v>Macon, GA 31201</v>
      </c>
      <c r="G142" s="746"/>
      <c r="I142" s="851"/>
      <c r="J142" s="882"/>
    </row>
    <row r="143" spans="1:10" ht="3" customHeight="1">
      <c r="C143" s="883"/>
      <c r="G143" s="746"/>
      <c r="I143" s="851"/>
      <c r="J143" s="882"/>
    </row>
    <row r="144" spans="1:10" ht="12" customHeight="1">
      <c r="A144" s="809" t="s">
        <v>3231</v>
      </c>
      <c r="C144" s="853" t="str">
        <f>Overview!H10</f>
        <v>Wells Fargo Bank, N.A. (Proposed)</v>
      </c>
      <c r="G144" s="746"/>
      <c r="I144" s="851"/>
      <c r="J144" s="881"/>
    </row>
    <row r="145" spans="1:10" ht="3" customHeight="1">
      <c r="C145" s="853"/>
      <c r="G145" s="746"/>
      <c r="I145" s="851"/>
      <c r="J145" s="882"/>
    </row>
    <row r="146" spans="1:10" ht="12" customHeight="1">
      <c r="A146" s="809" t="s">
        <v>3232</v>
      </c>
      <c r="C146" s="853" t="str">
        <f>Overview!K10</f>
        <v>Wells Fargo Bank, N.A. (Proposed)</v>
      </c>
      <c r="G146" s="746"/>
      <c r="I146" s="851"/>
      <c r="J146" s="881"/>
    </row>
    <row r="147" spans="1:10" ht="3" customHeight="1">
      <c r="C147" s="883"/>
      <c r="G147" s="746"/>
      <c r="I147" s="851"/>
      <c r="J147" s="882"/>
    </row>
    <row r="148" spans="1:10" ht="12" customHeight="1">
      <c r="A148" s="809" t="s">
        <v>3233</v>
      </c>
      <c r="C148" s="884" t="s">
        <v>3187</v>
      </c>
      <c r="G148" s="746"/>
      <c r="I148" s="746"/>
    </row>
    <row r="149" spans="1:10" ht="3" customHeight="1">
      <c r="C149" s="884"/>
      <c r="G149" s="746"/>
      <c r="I149" s="746"/>
    </row>
    <row r="150" spans="1:10" ht="12" customHeight="1">
      <c r="A150" s="809" t="s">
        <v>3234</v>
      </c>
      <c r="C150" s="884" t="s">
        <v>3187</v>
      </c>
      <c r="G150" s="746"/>
      <c r="I150" s="746"/>
    </row>
    <row r="151" spans="1:10" ht="7.5" customHeight="1">
      <c r="G151" s="746"/>
      <c r="H151" s="746"/>
      <c r="I151" s="746"/>
    </row>
    <row r="152" spans="1:10" ht="12" customHeight="1">
      <c r="A152" s="850" t="s">
        <v>3235</v>
      </c>
      <c r="G152" s="746"/>
      <c r="H152" s="746"/>
      <c r="I152" s="746"/>
    </row>
    <row r="153" spans="1:10" ht="3" customHeight="1">
      <c r="D153" s="746"/>
      <c r="E153" s="746"/>
      <c r="G153" s="746"/>
    </row>
    <row r="154" spans="1:10" ht="12" customHeight="1">
      <c r="A154" s="809" t="s">
        <v>3236</v>
      </c>
      <c r="C154" s="746" t="s">
        <v>3539</v>
      </c>
      <c r="D154" s="746"/>
      <c r="G154" s="746"/>
      <c r="H154" s="746"/>
      <c r="I154" s="746"/>
    </row>
    <row r="155" spans="1:10" ht="3" customHeight="1">
      <c r="D155" s="746"/>
      <c r="E155" s="746"/>
      <c r="G155" s="746"/>
    </row>
    <row r="156" spans="1:10" ht="12" customHeight="1">
      <c r="A156" s="809" t="s">
        <v>3237</v>
      </c>
      <c r="D156" s="1472">
        <v>20</v>
      </c>
      <c r="E156" s="746" t="s">
        <v>2425</v>
      </c>
    </row>
    <row r="157" spans="1:10" ht="3" customHeight="1">
      <c r="D157" s="746"/>
      <c r="E157" s="746"/>
      <c r="G157" s="746"/>
    </row>
    <row r="158" spans="1:10" ht="12" customHeight="1">
      <c r="A158" s="809" t="s">
        <v>3238</v>
      </c>
      <c r="C158" s="1423" t="s">
        <v>1784</v>
      </c>
      <c r="D158" s="746" t="s">
        <v>3586</v>
      </c>
      <c r="G158" s="746"/>
    </row>
    <row r="159" spans="1:10" ht="3" customHeight="1">
      <c r="G159" s="746"/>
      <c r="H159" s="746"/>
      <c r="I159" s="746"/>
    </row>
    <row r="160" spans="1:10" ht="12" customHeight="1">
      <c r="A160" s="809" t="s">
        <v>3239</v>
      </c>
      <c r="G160" s="746"/>
      <c r="H160" s="746"/>
      <c r="I160" s="746"/>
    </row>
    <row r="161" spans="1:13" ht="7.5" customHeight="1">
      <c r="G161" s="746"/>
      <c r="H161" s="746"/>
      <c r="I161" s="746"/>
    </row>
    <row r="162" spans="1:13" ht="12" customHeight="1">
      <c r="A162" s="850" t="s">
        <v>3240</v>
      </c>
      <c r="G162" s="746"/>
      <c r="H162" s="746"/>
      <c r="I162" s="746"/>
    </row>
    <row r="163" spans="1:13" ht="12" customHeight="1">
      <c r="A163" s="809" t="s">
        <v>3344</v>
      </c>
      <c r="C163" s="809" t="s">
        <v>3345</v>
      </c>
      <c r="E163" s="872">
        <f>'Preview term'!F77</f>
        <v>0</v>
      </c>
      <c r="G163" s="746"/>
      <c r="I163" s="746"/>
    </row>
    <row r="164" spans="1:13" ht="12" customHeight="1">
      <c r="C164" s="809" t="s">
        <v>3540</v>
      </c>
      <c r="E164" s="3662"/>
      <c r="F164" s="3662"/>
      <c r="G164" s="3662"/>
      <c r="I164" s="746"/>
    </row>
    <row r="165" spans="1:13" ht="3" customHeight="1">
      <c r="E165" s="746"/>
      <c r="G165" s="746"/>
      <c r="I165" s="746"/>
    </row>
    <row r="166" spans="1:13" ht="12" customHeight="1">
      <c r="A166" s="809" t="s">
        <v>3241</v>
      </c>
      <c r="C166" s="809" t="s">
        <v>3242</v>
      </c>
      <c r="E166" s="885">
        <f>'Preview term'!F71</f>
        <v>180450</v>
      </c>
      <c r="G166" s="746"/>
      <c r="I166" s="746"/>
    </row>
    <row r="167" spans="1:13" ht="12" customHeight="1">
      <c r="C167" s="809" t="s">
        <v>3540</v>
      </c>
      <c r="E167" s="3662"/>
      <c r="F167" s="3662"/>
      <c r="G167" s="3662"/>
      <c r="I167" s="746"/>
    </row>
    <row r="168" spans="1:13" ht="12" customHeight="1">
      <c r="C168" s="809" t="s">
        <v>3243</v>
      </c>
      <c r="E168" s="852" t="s">
        <v>2842</v>
      </c>
      <c r="G168" s="746"/>
      <c r="I168" s="746"/>
    </row>
    <row r="169" spans="1:13" ht="3" customHeight="1">
      <c r="E169" s="852"/>
      <c r="G169" s="746"/>
      <c r="I169" s="746"/>
    </row>
    <row r="170" spans="1:13" ht="12" customHeight="1">
      <c r="A170" s="809" t="s">
        <v>3346</v>
      </c>
      <c r="C170" s="809" t="s">
        <v>3347</v>
      </c>
      <c r="E170" s="885">
        <f>'Preview term'!F73</f>
        <v>0</v>
      </c>
      <c r="G170" s="746"/>
      <c r="I170" s="746"/>
    </row>
    <row r="171" spans="1:13" ht="12" customHeight="1">
      <c r="C171" s="809" t="s">
        <v>3244</v>
      </c>
      <c r="E171" s="885">
        <f>'Preview term'!F73</f>
        <v>0</v>
      </c>
      <c r="G171" s="746"/>
      <c r="I171" s="851"/>
      <c r="J171" s="882"/>
      <c r="K171" s="882"/>
      <c r="L171" s="882"/>
      <c r="M171" s="882"/>
    </row>
    <row r="172" spans="1:13" ht="12" customHeight="1">
      <c r="C172" s="809" t="s">
        <v>3245</v>
      </c>
      <c r="E172" s="880">
        <f>'Part VI-Revenues &amp; Expenses'!P179</f>
        <v>23390</v>
      </c>
      <c r="F172" s="851" t="s">
        <v>3246</v>
      </c>
      <c r="J172" s="882"/>
      <c r="K172" s="882"/>
      <c r="L172" s="882"/>
      <c r="M172" s="882"/>
    </row>
    <row r="173" spans="1:13">
      <c r="E173" s="885">
        <f>E172/12</f>
        <v>1949.1666666666667</v>
      </c>
      <c r="F173" s="746" t="s">
        <v>3098</v>
      </c>
    </row>
    <row r="174" spans="1:13" ht="12" customHeight="1">
      <c r="C174" s="809" t="s">
        <v>3541</v>
      </c>
      <c r="E174" s="3662"/>
      <c r="F174" s="3662"/>
      <c r="G174" s="3662"/>
      <c r="I174" s="746"/>
    </row>
    <row r="175" spans="1:13" ht="12" customHeight="1">
      <c r="C175" s="809" t="s">
        <v>3247</v>
      </c>
      <c r="E175" s="746" t="s">
        <v>3010</v>
      </c>
      <c r="I175" s="746"/>
    </row>
    <row r="176" spans="1:13" ht="12" customHeight="1">
      <c r="C176" s="809" t="s">
        <v>3248</v>
      </c>
      <c r="E176" s="746" t="s">
        <v>2842</v>
      </c>
      <c r="I176" s="746"/>
    </row>
    <row r="177" spans="1:10" ht="3" customHeight="1">
      <c r="E177" s="746"/>
      <c r="F177" s="746"/>
      <c r="I177" s="746"/>
    </row>
    <row r="178" spans="1:10" ht="12" customHeight="1">
      <c r="A178" s="809" t="s">
        <v>3342</v>
      </c>
      <c r="C178" s="809" t="s">
        <v>3343</v>
      </c>
      <c r="E178" s="872" t="s">
        <v>1784</v>
      </c>
      <c r="F178" s="886"/>
      <c r="I178" s="746"/>
    </row>
    <row r="179" spans="1:10" ht="12" customHeight="1">
      <c r="C179" s="809" t="s">
        <v>3249</v>
      </c>
      <c r="E179" s="872" t="s">
        <v>1784</v>
      </c>
      <c r="F179" s="3662"/>
      <c r="G179" s="3662"/>
      <c r="H179" s="3662"/>
      <c r="I179" s="3662"/>
      <c r="J179" s="3662"/>
    </row>
    <row r="180" spans="1:10" ht="12" customHeight="1">
      <c r="C180" s="809" t="s">
        <v>3542</v>
      </c>
      <c r="E180" s="746" t="s">
        <v>3187</v>
      </c>
      <c r="I180" s="746"/>
    </row>
    <row r="181" spans="1:10" ht="12" customHeight="1">
      <c r="C181" s="809" t="s">
        <v>3250</v>
      </c>
      <c r="E181" s="746" t="s">
        <v>2842</v>
      </c>
      <c r="I181" s="746"/>
    </row>
    <row r="182" spans="1:10" ht="3" customHeight="1">
      <c r="G182" s="746"/>
      <c r="H182" s="746"/>
      <c r="I182" s="746"/>
    </row>
    <row r="183" spans="1:10" ht="12" customHeight="1">
      <c r="A183" s="809" t="s">
        <v>3348</v>
      </c>
      <c r="C183" s="809" t="s">
        <v>3349</v>
      </c>
      <c r="E183" s="885">
        <f>'Preview term'!F75</f>
        <v>74701</v>
      </c>
      <c r="G183" s="746"/>
      <c r="I183" s="746"/>
    </row>
    <row r="184" spans="1:10" ht="12" customHeight="1">
      <c r="C184" s="809" t="s">
        <v>3540</v>
      </c>
      <c r="E184" s="852">
        <f>E167</f>
        <v>0</v>
      </c>
      <c r="G184" s="746"/>
      <c r="I184" s="746"/>
    </row>
    <row r="185" spans="1:10" ht="12" customHeight="1">
      <c r="C185" s="809" t="s">
        <v>3251</v>
      </c>
      <c r="E185" s="852" t="s">
        <v>3187</v>
      </c>
      <c r="G185" s="746"/>
      <c r="I185" s="746"/>
    </row>
    <row r="186" spans="1:10" ht="3" customHeight="1">
      <c r="E186" s="852"/>
      <c r="G186" s="746"/>
      <c r="I186" s="746"/>
    </row>
    <row r="187" spans="1:10" ht="12" customHeight="1">
      <c r="A187" s="809" t="s">
        <v>3350</v>
      </c>
      <c r="C187" s="809" t="s">
        <v>3351</v>
      </c>
      <c r="E187" s="852" t="s">
        <v>3187</v>
      </c>
      <c r="G187" s="746"/>
      <c r="I187" s="746"/>
    </row>
    <row r="188" spans="1:10" ht="12" customHeight="1">
      <c r="C188" s="809" t="s">
        <v>3242</v>
      </c>
      <c r="E188" s="864"/>
      <c r="G188" s="746"/>
      <c r="H188" s="871"/>
      <c r="I188" s="746"/>
    </row>
    <row r="189" spans="1:10" ht="12" customHeight="1">
      <c r="C189" s="809" t="s">
        <v>3540</v>
      </c>
      <c r="E189" s="864"/>
      <c r="I189" s="852"/>
    </row>
    <row r="190" spans="1:10" ht="12" customHeight="1">
      <c r="C190" s="809" t="s">
        <v>3243</v>
      </c>
      <c r="E190" s="864"/>
      <c r="G190" s="746"/>
      <c r="H190" s="746"/>
      <c r="I190" s="746"/>
    </row>
    <row r="191" spans="1:10" ht="9" customHeight="1">
      <c r="G191" s="746"/>
      <c r="H191" s="746"/>
      <c r="I191" s="746"/>
    </row>
    <row r="192" spans="1:10" ht="12" customHeight="1">
      <c r="A192" s="850" t="s">
        <v>3252</v>
      </c>
      <c r="C192" s="746" t="s">
        <v>3253</v>
      </c>
      <c r="E192" s="746"/>
      <c r="I192" s="746"/>
    </row>
    <row r="193" spans="1:10" ht="9" customHeight="1">
      <c r="E193" s="746"/>
      <c r="F193" s="746"/>
      <c r="I193" s="746"/>
    </row>
    <row r="194" spans="1:10" ht="12" customHeight="1">
      <c r="A194" s="850" t="s">
        <v>3254</v>
      </c>
      <c r="E194" s="746"/>
      <c r="F194" s="746"/>
      <c r="I194" s="746"/>
    </row>
    <row r="195" spans="1:10" ht="12" customHeight="1">
      <c r="A195" s="809" t="s">
        <v>3255</v>
      </c>
      <c r="C195" s="1419" t="s">
        <v>1784</v>
      </c>
      <c r="E195" s="746"/>
      <c r="F195" s="746"/>
      <c r="I195" s="746"/>
    </row>
    <row r="196" spans="1:10" ht="3" customHeight="1">
      <c r="G196" s="746"/>
      <c r="H196" s="746"/>
      <c r="I196" s="746"/>
    </row>
    <row r="197" spans="1:10">
      <c r="A197" s="858" t="s">
        <v>3544</v>
      </c>
      <c r="B197" s="858"/>
      <c r="C197" s="858"/>
      <c r="D197" s="858"/>
      <c r="E197" s="863" t="s">
        <v>3543</v>
      </c>
      <c r="F197" s="3674">
        <f>'Part VIII-Threshold Criteria'!E393</f>
        <v>0</v>
      </c>
      <c r="G197" s="3674"/>
      <c r="H197" s="3674"/>
      <c r="I197" s="3674"/>
      <c r="J197" s="3674"/>
    </row>
    <row r="198" spans="1:10" ht="9" customHeight="1">
      <c r="G198" s="746"/>
      <c r="H198" s="746"/>
      <c r="I198" s="746"/>
    </row>
    <row r="199" spans="1:10" ht="12" customHeight="1">
      <c r="A199" s="887" t="s">
        <v>3341</v>
      </c>
      <c r="G199" s="746"/>
      <c r="H199" s="746"/>
      <c r="I199" s="871"/>
    </row>
    <row r="200" spans="1:10" ht="25.5" hidden="1" customHeight="1">
      <c r="A200" s="3663" t="str">
        <f>'Subsidy Layering Memo'!A98</f>
        <v>Include any reserve requirements; explain any reserves far in excess of 6 month ODR, 3 mo lease up, 1 year RR, 6 mo T&amp;I standards.</v>
      </c>
      <c r="B200" s="3663"/>
      <c r="C200" s="3663"/>
      <c r="D200" s="3663"/>
      <c r="E200" s="3663"/>
      <c r="F200" s="3663"/>
      <c r="G200" s="3663"/>
      <c r="H200" s="3663"/>
      <c r="I200" s="3663"/>
      <c r="J200" s="3663"/>
    </row>
    <row r="201" spans="1:10">
      <c r="A201" s="746"/>
      <c r="G201" s="746"/>
      <c r="H201" s="746"/>
      <c r="I201" s="746"/>
    </row>
    <row r="202" spans="1:10">
      <c r="A202" s="850" t="s">
        <v>3256</v>
      </c>
      <c r="G202" s="746"/>
      <c r="H202" s="746"/>
      <c r="I202" s="746"/>
    </row>
    <row r="203" spans="1:10" ht="3" customHeight="1">
      <c r="G203" s="746"/>
      <c r="H203" s="746"/>
      <c r="I203" s="746"/>
    </row>
    <row r="204" spans="1:10" ht="76.5" customHeight="1">
      <c r="A204" s="3664" t="s">
        <v>2963</v>
      </c>
      <c r="B204" s="3664"/>
      <c r="C204" s="3664"/>
      <c r="D204" s="3664"/>
      <c r="E204" s="3664"/>
      <c r="F204" s="3664"/>
      <c r="G204" s="3664"/>
      <c r="H204" s="3664"/>
      <c r="I204" s="3664"/>
      <c r="J204" s="3664"/>
    </row>
    <row r="205" spans="1:10">
      <c r="A205" s="746" t="s">
        <v>2964</v>
      </c>
      <c r="G205" s="746"/>
      <c r="H205" s="746"/>
      <c r="I205" s="746"/>
    </row>
    <row r="206" spans="1:10" ht="38.25" customHeight="1">
      <c r="A206" s="3664" t="str">
        <f>'Subsidy Layering Memo'!A37&amp;".  "&amp;'Subsidy Layering Memo'!A38</f>
        <v xml:space="preserve">.  </v>
      </c>
      <c r="B206" s="3671"/>
      <c r="C206" s="3671"/>
      <c r="D206" s="3671"/>
      <c r="E206" s="3671"/>
      <c r="F206" s="3671"/>
      <c r="G206" s="3671"/>
      <c r="H206" s="3671"/>
      <c r="I206" s="3671"/>
      <c r="J206" s="3671"/>
    </row>
    <row r="207" spans="1:10">
      <c r="A207" s="852"/>
    </row>
    <row r="208" spans="1:10">
      <c r="A208" s="852"/>
    </row>
    <row r="209" spans="1:4">
      <c r="A209" s="746"/>
    </row>
    <row r="213" spans="1:4">
      <c r="D213" s="809" t="s">
        <v>245</v>
      </c>
    </row>
  </sheetData>
  <sheetProtection algorithmName="SHA-512" hashValue="Mq1G0qcXmbBcmPEuWHVK9y+TCen+wazGEIEfjyXt/rZXAwv1pycTYWXwzdcCvmw5QoW0nA+mBjAGW9in1HJygA==" saltValue="06IrZr/yvW8XeShUwtGYJg=="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809" customWidth="1"/>
    <col min="2" max="2" width="4.28515625" style="809" customWidth="1"/>
    <col min="3" max="3" width="18.5703125" style="809" customWidth="1"/>
    <col min="4" max="4" width="2.7109375" style="809" customWidth="1"/>
    <col min="5" max="5" width="6.5703125" style="809" customWidth="1"/>
    <col min="6" max="6" width="39.28515625" style="809" customWidth="1"/>
    <col min="7" max="8" width="8.42578125" style="809" customWidth="1"/>
    <col min="9" max="9" width="9.140625" style="809"/>
    <col min="10" max="10" width="14.140625" style="809" customWidth="1"/>
    <col min="11" max="16384" width="9.140625" style="809"/>
  </cols>
  <sheetData>
    <row r="1" spans="1:11">
      <c r="A1" s="746" t="s">
        <v>3257</v>
      </c>
      <c r="H1" s="854" t="str">
        <f>Overview!C8</f>
        <v>Tindall Fields III</v>
      </c>
    </row>
    <row r="2" spans="1:11">
      <c r="A2" s="746" t="s">
        <v>3258</v>
      </c>
      <c r="H2" s="809" t="str">
        <f>Overview!E8</f>
        <v>2018-013</v>
      </c>
    </row>
    <row r="3" spans="1:11" ht="3" customHeight="1"/>
    <row r="4" spans="1:11" ht="51.75" customHeight="1">
      <c r="A4" s="3671" t="s">
        <v>3358</v>
      </c>
      <c r="B4" s="3671"/>
      <c r="C4" s="3671"/>
      <c r="D4" s="3671"/>
      <c r="E4" s="3671"/>
      <c r="F4" s="3671"/>
      <c r="G4" s="3671"/>
      <c r="H4" s="3671"/>
      <c r="J4" s="1444">
        <f>SUM('Part VII-Pro Forma'!B14:B16)/12</f>
        <v>36746.866799999996</v>
      </c>
      <c r="K4" s="1443" t="s">
        <v>4529</v>
      </c>
    </row>
    <row r="5" spans="1:11" ht="1.5" customHeight="1">
      <c r="C5" s="888"/>
      <c r="D5" s="888"/>
      <c r="E5" s="888"/>
      <c r="F5" s="888"/>
      <c r="G5" s="888"/>
      <c r="H5" s="888"/>
    </row>
    <row r="6" spans="1:11" ht="12.75" customHeight="1">
      <c r="B6" s="889" t="s">
        <v>2451</v>
      </c>
      <c r="C6" s="3671" t="s">
        <v>3259</v>
      </c>
      <c r="D6" s="3671"/>
      <c r="E6" s="3671"/>
      <c r="F6" s="3671"/>
      <c r="G6" s="3671"/>
      <c r="H6" s="3671"/>
    </row>
    <row r="7" spans="1:11" ht="12.75" customHeight="1">
      <c r="B7" s="889" t="s">
        <v>2452</v>
      </c>
      <c r="C7" s="3671" t="s">
        <v>3260</v>
      </c>
      <c r="D7" s="3671"/>
      <c r="E7" s="3671"/>
      <c r="F7" s="3671"/>
      <c r="G7" s="3671"/>
      <c r="H7" s="3671"/>
    </row>
    <row r="8" spans="1:11" ht="3" customHeight="1"/>
    <row r="9" spans="1:11">
      <c r="A9" s="809" t="s">
        <v>3261</v>
      </c>
    </row>
    <row r="10" spans="1:11" ht="1.5" customHeight="1"/>
    <row r="11" spans="1:11" ht="26.25" customHeight="1">
      <c r="A11" s="890" t="s">
        <v>1999</v>
      </c>
      <c r="B11" s="3677" t="s">
        <v>3355</v>
      </c>
      <c r="C11" s="3677"/>
      <c r="D11" s="3677"/>
      <c r="E11" s="3677"/>
      <c r="F11" s="3677"/>
      <c r="G11" s="3678">
        <f>'Part III-Sources of Funds'!I49+'Part III-Sources of Funds'!I50</f>
        <v>12239318</v>
      </c>
      <c r="H11" s="3678"/>
    </row>
    <row r="12" spans="1:11" ht="1.5" customHeight="1">
      <c r="G12" s="858"/>
      <c r="H12" s="858"/>
    </row>
    <row r="13" spans="1:11" ht="26.25" customHeight="1">
      <c r="A13" s="890" t="s">
        <v>2001</v>
      </c>
      <c r="B13" s="3677" t="s">
        <v>3356</v>
      </c>
      <c r="C13" s="3677"/>
      <c r="D13" s="3677"/>
      <c r="E13" s="3677"/>
      <c r="F13" s="3677"/>
      <c r="G13" s="3679" t="s">
        <v>3187</v>
      </c>
      <c r="H13" s="3679"/>
    </row>
    <row r="14" spans="1:11" ht="12" hidden="1" customHeight="1">
      <c r="A14" s="890"/>
      <c r="B14" s="3660"/>
      <c r="C14" s="3660"/>
      <c r="D14" s="3660"/>
      <c r="E14" s="3660"/>
      <c r="F14" s="3660"/>
      <c r="G14" s="3660"/>
      <c r="H14" s="3660"/>
    </row>
    <row r="15" spans="1:11" ht="1.5" customHeight="1"/>
    <row r="16" spans="1:11" ht="12" customHeight="1">
      <c r="A16" s="890" t="s">
        <v>757</v>
      </c>
      <c r="B16" s="809" t="s">
        <v>3360</v>
      </c>
      <c r="F16" s="882"/>
      <c r="G16" s="3657" t="s">
        <v>3013</v>
      </c>
      <c r="H16" s="3657"/>
    </row>
    <row r="17" spans="1:8" ht="1.5" customHeight="1">
      <c r="G17" s="864"/>
    </row>
    <row r="18" spans="1:8" ht="12" customHeight="1">
      <c r="A18" s="890" t="s">
        <v>2131</v>
      </c>
      <c r="B18" s="858" t="s">
        <v>3357</v>
      </c>
      <c r="C18" s="890"/>
      <c r="D18" s="890"/>
      <c r="E18" s="890"/>
      <c r="G18" s="3660" t="s">
        <v>2842</v>
      </c>
      <c r="H18" s="3660"/>
    </row>
    <row r="19" spans="1:8" ht="12" hidden="1" customHeight="1">
      <c r="B19" s="3660"/>
      <c r="C19" s="3660"/>
      <c r="D19" s="3660"/>
      <c r="E19" s="3660"/>
      <c r="F19" s="3660"/>
      <c r="G19" s="3660"/>
      <c r="H19" s="3660"/>
    </row>
    <row r="20" spans="1:8" ht="13.5" customHeight="1"/>
    <row r="21" spans="1:8" ht="12" customHeight="1">
      <c r="A21" s="746" t="s">
        <v>3262</v>
      </c>
    </row>
    <row r="22" spans="1:8" ht="3" customHeight="1"/>
    <row r="23" spans="1:8" ht="26.25" customHeight="1">
      <c r="A23" s="3680" t="s">
        <v>3359</v>
      </c>
      <c r="B23" s="3680"/>
      <c r="C23" s="3680"/>
      <c r="D23" s="3680"/>
      <c r="E23" s="3680"/>
      <c r="F23" s="3680"/>
      <c r="G23" s="3680"/>
      <c r="H23" s="3680"/>
    </row>
    <row r="24" spans="1:8" ht="26.25" customHeight="1">
      <c r="A24" s="3676" t="s">
        <v>3263</v>
      </c>
      <c r="B24" s="3676"/>
      <c r="C24" s="3676"/>
      <c r="D24" s="3676"/>
      <c r="E24" s="3676"/>
      <c r="F24" s="3676"/>
      <c r="G24" s="3676"/>
      <c r="H24" s="3676"/>
    </row>
    <row r="25" spans="1:8" ht="9" customHeight="1">
      <c r="A25" s="831"/>
    </row>
    <row r="26" spans="1:8">
      <c r="A26" s="864" t="s">
        <v>3361</v>
      </c>
      <c r="B26" s="891"/>
      <c r="C26" s="864" t="s">
        <v>3362</v>
      </c>
      <c r="D26" s="892" t="s">
        <v>3550</v>
      </c>
    </row>
    <row r="27" spans="1:8" ht="6" customHeight="1"/>
    <row r="28" spans="1:8" ht="12.75" customHeight="1">
      <c r="C28" s="858" t="s">
        <v>3264</v>
      </c>
      <c r="D28" s="893" t="s">
        <v>2002</v>
      </c>
      <c r="E28" s="894"/>
      <c r="F28" s="3671" t="s">
        <v>3265</v>
      </c>
      <c r="G28" s="3671"/>
      <c r="H28" s="3671"/>
    </row>
    <row r="29" spans="1:8" ht="12.75" customHeight="1">
      <c r="C29" s="895" t="s">
        <v>1365</v>
      </c>
      <c r="D29" s="893" t="s">
        <v>2004</v>
      </c>
      <c r="E29" s="3671" t="s">
        <v>3366</v>
      </c>
      <c r="F29" s="3671"/>
      <c r="G29" s="3671"/>
      <c r="H29" s="3671"/>
    </row>
    <row r="30" spans="1:8" ht="12.75" customHeight="1">
      <c r="E30" s="3671" t="s">
        <v>3546</v>
      </c>
      <c r="F30" s="3671"/>
      <c r="G30" s="3671"/>
      <c r="H30" s="3671"/>
    </row>
    <row r="31" spans="1:8" ht="12.75" customHeight="1">
      <c r="D31" s="896" t="s">
        <v>3365</v>
      </c>
      <c r="E31" s="3671" t="s">
        <v>3547</v>
      </c>
      <c r="F31" s="3671"/>
      <c r="G31" s="3671"/>
      <c r="H31" s="3671"/>
    </row>
    <row r="32" spans="1:8" ht="3" customHeight="1">
      <c r="D32" s="893"/>
      <c r="E32" s="1471"/>
      <c r="F32" s="1471"/>
      <c r="G32" s="1471"/>
      <c r="H32" s="1471"/>
    </row>
    <row r="33" spans="1:11">
      <c r="A33" s="864" t="s">
        <v>3361</v>
      </c>
      <c r="B33" s="891"/>
      <c r="C33" s="864" t="s">
        <v>3363</v>
      </c>
      <c r="D33" s="892" t="s">
        <v>3551</v>
      </c>
    </row>
    <row r="34" spans="1:11" ht="4.5" customHeight="1"/>
    <row r="35" spans="1:11" ht="12.75" customHeight="1">
      <c r="C35" s="858" t="s">
        <v>3264</v>
      </c>
      <c r="D35" s="893" t="s">
        <v>2002</v>
      </c>
      <c r="E35" s="894"/>
      <c r="F35" s="3671" t="s">
        <v>3265</v>
      </c>
      <c r="G35" s="3671"/>
      <c r="H35" s="3671"/>
    </row>
    <row r="36" spans="1:11" ht="12.75" customHeight="1">
      <c r="C36" s="895" t="s">
        <v>1365</v>
      </c>
      <c r="D36" s="893" t="s">
        <v>2004</v>
      </c>
      <c r="E36" s="3671" t="s">
        <v>3367</v>
      </c>
      <c r="F36" s="3671"/>
      <c r="G36" s="3671"/>
      <c r="H36" s="3671"/>
    </row>
    <row r="37" spans="1:11" ht="12.75" customHeight="1">
      <c r="E37" s="3671" t="s">
        <v>3546</v>
      </c>
      <c r="F37" s="3671"/>
      <c r="G37" s="3671"/>
      <c r="H37" s="3671"/>
    </row>
    <row r="38" spans="1:11" ht="12.75" customHeight="1">
      <c r="D38" s="896" t="s">
        <v>3365</v>
      </c>
      <c r="E38" s="3671" t="s">
        <v>3547</v>
      </c>
      <c r="F38" s="3671"/>
      <c r="G38" s="3671"/>
      <c r="H38" s="3671"/>
    </row>
    <row r="39" spans="1:11" ht="3" customHeight="1">
      <c r="D39" s="893"/>
      <c r="E39" s="1471"/>
      <c r="F39" s="1471"/>
      <c r="G39" s="1471"/>
      <c r="H39" s="1471"/>
    </row>
    <row r="40" spans="1:11">
      <c r="A40" s="864" t="s">
        <v>3361</v>
      </c>
      <c r="B40" s="891"/>
      <c r="C40" s="864" t="s">
        <v>3364</v>
      </c>
      <c r="D40" s="892" t="s">
        <v>3552</v>
      </c>
    </row>
    <row r="41" spans="1:11" ht="4.5" customHeight="1"/>
    <row r="42" spans="1:11" ht="12.75" customHeight="1">
      <c r="C42" s="858" t="s">
        <v>3264</v>
      </c>
      <c r="D42" s="893" t="s">
        <v>2002</v>
      </c>
      <c r="E42" s="894"/>
      <c r="F42" s="3671" t="s">
        <v>3265</v>
      </c>
      <c r="G42" s="3671"/>
      <c r="H42" s="3671"/>
      <c r="K42" s="809" t="s">
        <v>245</v>
      </c>
    </row>
    <row r="43" spans="1:11" ht="12.75" customHeight="1">
      <c r="C43" s="895" t="s">
        <v>1365</v>
      </c>
      <c r="D43" s="893" t="s">
        <v>2004</v>
      </c>
      <c r="E43" s="3671" t="s">
        <v>3367</v>
      </c>
      <c r="F43" s="3671"/>
      <c r="G43" s="3671"/>
      <c r="H43" s="3671"/>
    </row>
    <row r="44" spans="1:11" ht="12.75" customHeight="1">
      <c r="E44" s="3671" t="s">
        <v>3546</v>
      </c>
      <c r="F44" s="3671"/>
      <c r="G44" s="3671"/>
      <c r="H44" s="3671"/>
    </row>
    <row r="45" spans="1:11" ht="12.75" customHeight="1">
      <c r="D45" s="896" t="s">
        <v>3365</v>
      </c>
      <c r="E45" s="3671" t="s">
        <v>3547</v>
      </c>
      <c r="F45" s="3671"/>
      <c r="G45" s="3671"/>
      <c r="H45" s="3671"/>
    </row>
    <row r="46" spans="1:11" ht="9" customHeight="1"/>
    <row r="47" spans="1:11" ht="7.5" customHeight="1">
      <c r="E47" s="3671"/>
      <c r="F47" s="3671"/>
      <c r="G47" s="3671"/>
      <c r="H47" s="3671"/>
    </row>
    <row r="48" spans="1:11" ht="24.75" customHeight="1">
      <c r="A48" s="3681" t="s">
        <v>4293</v>
      </c>
      <c r="B48" s="3681"/>
      <c r="C48" s="3681"/>
      <c r="D48" s="3681"/>
      <c r="E48" s="3681"/>
      <c r="F48" s="3681"/>
      <c r="G48" s="3681"/>
      <c r="H48" s="3681"/>
    </row>
    <row r="49" spans="1:11" ht="9" customHeight="1"/>
    <row r="50" spans="1:11" ht="26.25" customHeight="1">
      <c r="A50" s="3680" t="s">
        <v>3548</v>
      </c>
      <c r="B50" s="3680"/>
      <c r="C50" s="3680"/>
      <c r="D50" s="3680"/>
      <c r="E50" s="3680"/>
      <c r="F50" s="3680"/>
      <c r="G50" s="3680"/>
      <c r="H50" s="3680"/>
    </row>
    <row r="51" spans="1:11" ht="9" customHeight="1">
      <c r="A51" s="831"/>
    </row>
    <row r="52" spans="1:11">
      <c r="A52" s="864" t="s">
        <v>3361</v>
      </c>
      <c r="B52" s="891"/>
      <c r="C52" s="864" t="s">
        <v>3362</v>
      </c>
      <c r="D52" s="892" t="s">
        <v>3549</v>
      </c>
    </row>
    <row r="53" spans="1:11" ht="4.5" customHeight="1"/>
    <row r="54" spans="1:11" ht="12.75" customHeight="1">
      <c r="C54" s="858" t="s">
        <v>3264</v>
      </c>
      <c r="D54" s="893" t="s">
        <v>2002</v>
      </c>
      <c r="E54" s="894"/>
      <c r="F54" s="3671" t="s">
        <v>3265</v>
      </c>
      <c r="G54" s="3671"/>
      <c r="H54" s="3671"/>
    </row>
    <row r="55" spans="1:11" ht="12.75" customHeight="1">
      <c r="C55" s="895" t="s">
        <v>1365</v>
      </c>
      <c r="D55" s="893" t="s">
        <v>2004</v>
      </c>
      <c r="E55" s="3671" t="s">
        <v>3555</v>
      </c>
      <c r="F55" s="3671"/>
      <c r="G55" s="3671"/>
      <c r="H55" s="3671"/>
    </row>
    <row r="56" spans="1:11" ht="3" customHeight="1">
      <c r="D56" s="893"/>
      <c r="E56" s="1471"/>
      <c r="F56" s="1471"/>
      <c r="G56" s="1471"/>
      <c r="H56" s="1471"/>
    </row>
    <row r="57" spans="1:11">
      <c r="A57" s="864" t="s">
        <v>3361</v>
      </c>
      <c r="B57" s="891"/>
      <c r="C57" s="864" t="s">
        <v>3363</v>
      </c>
      <c r="D57" s="892" t="s">
        <v>3553</v>
      </c>
    </row>
    <row r="58" spans="1:11" ht="4.5" customHeight="1"/>
    <row r="59" spans="1:11">
      <c r="C59" s="858" t="s">
        <v>3264</v>
      </c>
      <c r="D59" s="893" t="s">
        <v>2002</v>
      </c>
      <c r="E59" s="894"/>
      <c r="F59" s="3671" t="s">
        <v>3265</v>
      </c>
      <c r="G59" s="3671"/>
      <c r="H59" s="3671"/>
    </row>
    <row r="60" spans="1:11" ht="12.75" customHeight="1">
      <c r="C60" s="895" t="s">
        <v>1365</v>
      </c>
      <c r="D60" s="893" t="s">
        <v>2004</v>
      </c>
      <c r="E60" s="3671" t="s">
        <v>3555</v>
      </c>
      <c r="F60" s="3671"/>
      <c r="G60" s="3671"/>
      <c r="H60" s="3671"/>
    </row>
    <row r="61" spans="1:11" ht="3" customHeight="1">
      <c r="D61" s="893"/>
      <c r="E61" s="1471"/>
      <c r="F61" s="1471"/>
      <c r="G61" s="1471"/>
      <c r="H61" s="1471"/>
    </row>
    <row r="62" spans="1:11">
      <c r="A62" s="864" t="s">
        <v>3361</v>
      </c>
      <c r="B62" s="891"/>
      <c r="C62" s="864" t="s">
        <v>3364</v>
      </c>
      <c r="D62" s="892" t="s">
        <v>3554</v>
      </c>
    </row>
    <row r="63" spans="1:11" ht="4.5" customHeight="1"/>
    <row r="64" spans="1:11">
      <c r="C64" s="858" t="s">
        <v>3264</v>
      </c>
      <c r="D64" s="893" t="s">
        <v>2002</v>
      </c>
      <c r="E64" s="894"/>
      <c r="F64" s="3671" t="s">
        <v>3265</v>
      </c>
      <c r="G64" s="3671"/>
      <c r="H64" s="3671"/>
      <c r="K64" s="809" t="s">
        <v>245</v>
      </c>
    </row>
    <row r="65" spans="3:8" ht="12.75" customHeight="1">
      <c r="C65" s="895" t="s">
        <v>1365</v>
      </c>
      <c r="D65" s="893" t="s">
        <v>2004</v>
      </c>
      <c r="E65" s="3671" t="s">
        <v>3555</v>
      </c>
      <c r="F65" s="3671"/>
      <c r="G65" s="3671"/>
      <c r="H65" s="3671"/>
    </row>
    <row r="66" spans="3:8" ht="7.5" customHeight="1">
      <c r="E66" s="3671"/>
      <c r="F66" s="3671"/>
      <c r="G66" s="3671"/>
      <c r="H66" s="3671"/>
    </row>
  </sheetData>
  <sheetProtection algorithmName="SHA-512" hashValue="pKd33nhpoQvZDUOLEDzWYVfHrrWmed8hfHR4+3RnACj3zgm0UE1MnZRRKt0Yu5m5rLVNbRQ3hGzRpi+XiMay7w==" saltValue="TI3PRP4jYiFkcQAI6+SJcw=="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1490" customWidth="1"/>
    <col min="2" max="2" width="12.42578125" style="1490" customWidth="1"/>
    <col min="3" max="3" width="12.28515625" style="1490" customWidth="1"/>
    <col min="4" max="4" width="9.7109375" style="1490" customWidth="1"/>
    <col min="5" max="5" width="10.42578125" style="1490" customWidth="1"/>
    <col min="6" max="6" width="9.140625" style="1490"/>
    <col min="7" max="7" width="11" style="1490" customWidth="1"/>
    <col min="8" max="8" width="14.42578125" style="1490" customWidth="1"/>
    <col min="9" max="9" width="10.140625" style="1490" customWidth="1"/>
    <col min="10" max="16384" width="9.140625" style="1490"/>
  </cols>
  <sheetData>
    <row r="1" spans="2:13" ht="15.75">
      <c r="B1" s="3693" t="s">
        <v>4336</v>
      </c>
      <c r="C1" s="3693"/>
      <c r="D1" s="3693"/>
      <c r="E1" s="3693"/>
      <c r="F1" s="3693"/>
      <c r="G1" s="3693"/>
      <c r="H1" s="3693"/>
      <c r="I1" s="3693"/>
    </row>
    <row r="2" spans="2:13" ht="15">
      <c r="B2" s="1491" t="s">
        <v>4324</v>
      </c>
      <c r="C2" s="857"/>
      <c r="D2" s="857"/>
      <c r="E2" s="857"/>
      <c r="F2" s="857"/>
      <c r="G2" s="857"/>
      <c r="H2" s="857"/>
      <c r="I2" s="857"/>
    </row>
    <row r="3" spans="2:13" ht="14.25">
      <c r="B3" s="1492" t="s">
        <v>4331</v>
      </c>
      <c r="C3" s="857"/>
      <c r="D3" s="857"/>
      <c r="E3" s="857"/>
      <c r="F3" s="857"/>
      <c r="G3" s="857"/>
      <c r="H3" s="857"/>
      <c r="I3" s="857"/>
    </row>
    <row r="4" spans="2:13">
      <c r="B4" s="3694" t="s">
        <v>3266</v>
      </c>
      <c r="C4" s="3694"/>
      <c r="D4" s="3694"/>
      <c r="E4" s="3699" t="s">
        <v>3267</v>
      </c>
      <c r="F4" s="3701"/>
      <c r="G4" s="3699" t="s">
        <v>623</v>
      </c>
      <c r="H4" s="3700"/>
      <c r="I4" s="3701"/>
      <c r="J4" s="1485" t="s">
        <v>3111</v>
      </c>
      <c r="K4" s="1485"/>
      <c r="L4" s="1493"/>
      <c r="M4" s="1493"/>
    </row>
    <row r="5" spans="2:13">
      <c r="B5" s="3695" t="str">
        <f>'Closing term sheet'!C8</f>
        <v>Tindall Partners IV, L.P.</v>
      </c>
      <c r="C5" s="3696"/>
      <c r="D5" s="3696"/>
      <c r="E5" s="3705"/>
      <c r="F5" s="3706"/>
      <c r="G5" s="3702" t="str">
        <f>'Closing term sheet'!C28</f>
        <v>Tindall Fields III</v>
      </c>
      <c r="H5" s="3703"/>
      <c r="I5" s="3704"/>
      <c r="K5" s="809"/>
    </row>
    <row r="6" spans="2:13" ht="4.5" customHeight="1">
      <c r="D6" s="1494"/>
      <c r="E6" s="1494"/>
      <c r="F6" s="1494"/>
      <c r="G6" s="1494"/>
      <c r="H6" s="1494"/>
      <c r="I6" s="1494"/>
      <c r="K6" s="809"/>
    </row>
    <row r="7" spans="2:13">
      <c r="B7" s="3688" t="s">
        <v>3268</v>
      </c>
      <c r="C7" s="3688"/>
      <c r="D7" s="1495"/>
      <c r="E7" s="1495"/>
      <c r="F7" s="1495"/>
      <c r="G7" s="1495"/>
      <c r="H7" s="3697">
        <f>'Preview term'!E9</f>
        <v>0</v>
      </c>
      <c r="I7" s="3698"/>
    </row>
    <row r="8" spans="2:13" ht="4.5" customHeight="1">
      <c r="B8" s="1495"/>
      <c r="C8" s="1495"/>
      <c r="D8" s="1495"/>
      <c r="E8" s="1495"/>
      <c r="F8" s="1495"/>
      <c r="G8" s="1495"/>
      <c r="H8" s="1495"/>
      <c r="I8" s="1495"/>
      <c r="J8" s="1495"/>
    </row>
    <row r="9" spans="2:13">
      <c r="B9" s="1496" t="s">
        <v>3269</v>
      </c>
      <c r="C9" s="1496"/>
      <c r="D9" s="1495"/>
      <c r="E9" s="866" t="s">
        <v>4326</v>
      </c>
      <c r="F9" s="1495"/>
      <c r="G9" s="1495"/>
      <c r="H9" s="1495"/>
      <c r="I9" s="1497" t="str">
        <f>'Closing term sheet'!D12</f>
        <v>&lt;&lt;Select&gt;&gt;</v>
      </c>
    </row>
    <row r="10" spans="2:13" ht="7.5" customHeight="1">
      <c r="B10" s="1495"/>
      <c r="C10" s="1495"/>
      <c r="D10" s="1495"/>
      <c r="E10" s="1495"/>
      <c r="F10" s="1495"/>
      <c r="G10" s="1495"/>
      <c r="H10" s="1495"/>
      <c r="I10" s="1495"/>
    </row>
    <row r="11" spans="2:13" ht="14.25">
      <c r="B11" s="1498" t="s">
        <v>4323</v>
      </c>
      <c r="C11" s="1495"/>
      <c r="D11" s="1499"/>
      <c r="E11" s="1495"/>
      <c r="F11" s="1495"/>
      <c r="G11" s="1495"/>
      <c r="H11" s="1495"/>
      <c r="I11" s="1495"/>
    </row>
    <row r="12" spans="2:13">
      <c r="B12" s="1500" t="s">
        <v>3270</v>
      </c>
      <c r="C12" s="1501"/>
      <c r="D12" s="1501"/>
      <c r="E12" s="1501"/>
      <c r="F12" s="1501"/>
      <c r="G12" s="1501"/>
      <c r="H12" s="1501"/>
      <c r="I12" s="1502" t="s">
        <v>3013</v>
      </c>
    </row>
    <row r="13" spans="2:13">
      <c r="B13" s="1503"/>
      <c r="C13" s="1504"/>
      <c r="D13" s="1495"/>
      <c r="E13" s="866" t="s">
        <v>3271</v>
      </c>
      <c r="F13" s="1495"/>
      <c r="G13" s="1495"/>
      <c r="H13" s="1495"/>
      <c r="I13" s="1505"/>
    </row>
    <row r="14" spans="2:13" ht="7.5" customHeight="1">
      <c r="B14" s="1506"/>
      <c r="C14" s="1495"/>
      <c r="D14" s="1495"/>
      <c r="E14" s="1495"/>
      <c r="F14" s="1499"/>
      <c r="G14" s="1495"/>
      <c r="H14" s="1495"/>
      <c r="I14" s="1505"/>
    </row>
    <row r="15" spans="2:13">
      <c r="B15" s="1506" t="s">
        <v>3368</v>
      </c>
      <c r="C15" s="1495"/>
      <c r="D15" s="1495"/>
      <c r="E15" s="1495"/>
      <c r="F15" s="886"/>
      <c r="G15" s="1495"/>
      <c r="H15" s="1495"/>
      <c r="I15" s="1507"/>
    </row>
    <row r="16" spans="2:13">
      <c r="B16" s="1508" t="s">
        <v>4327</v>
      </c>
      <c r="C16" s="1495"/>
      <c r="D16" s="1495"/>
      <c r="E16" s="1509" t="s">
        <v>3463</v>
      </c>
      <c r="F16" s="1495"/>
      <c r="G16" s="1495"/>
      <c r="H16" s="1495"/>
      <c r="I16" s="1507"/>
    </row>
    <row r="17" spans="2:9" ht="7.5" customHeight="1">
      <c r="B17" s="1503"/>
      <c r="C17" s="1495"/>
      <c r="D17" s="1495"/>
      <c r="E17" s="1495"/>
      <c r="F17" s="1495"/>
      <c r="G17" s="1495"/>
      <c r="H17" s="1495"/>
      <c r="I17" s="1505"/>
    </row>
    <row r="18" spans="2:9">
      <c r="B18" s="1506" t="s">
        <v>3272</v>
      </c>
      <c r="C18" s="1495"/>
      <c r="D18" s="1495"/>
      <c r="E18" s="1495"/>
      <c r="F18" s="1495"/>
      <c r="G18" s="1495"/>
      <c r="H18" s="1495"/>
      <c r="I18" s="1510" t="s">
        <v>3013</v>
      </c>
    </row>
    <row r="19" spans="2:9">
      <c r="B19" s="1511" t="s">
        <v>4328</v>
      </c>
      <c r="C19" s="1495"/>
      <c r="D19" s="1495"/>
      <c r="E19" s="1495"/>
      <c r="F19" s="1495"/>
      <c r="G19" s="1495"/>
      <c r="H19" s="1495"/>
      <c r="I19" s="1512"/>
    </row>
    <row r="20" spans="2:9" ht="7.5" customHeight="1">
      <c r="B20" s="1506"/>
      <c r="C20" s="1495"/>
      <c r="D20" s="1495"/>
      <c r="E20" s="1495"/>
      <c r="F20" s="1495"/>
      <c r="G20" s="1495"/>
      <c r="H20" s="1495"/>
      <c r="I20" s="1512"/>
    </row>
    <row r="21" spans="2:9">
      <c r="B21" s="1506" t="s">
        <v>4325</v>
      </c>
      <c r="C21" s="1495"/>
      <c r="D21" s="1495"/>
      <c r="E21" s="1495"/>
      <c r="F21" s="1495"/>
      <c r="G21" s="1495"/>
      <c r="H21" s="1495"/>
      <c r="I21" s="1507"/>
    </row>
    <row r="22" spans="2:9">
      <c r="B22" s="1511" t="s">
        <v>4329</v>
      </c>
      <c r="C22" s="1495"/>
      <c r="D22" s="1495"/>
      <c r="E22" s="1495"/>
      <c r="F22" s="1495"/>
      <c r="G22" s="1495"/>
      <c r="H22" s="1495"/>
      <c r="I22" s="1512"/>
    </row>
    <row r="23" spans="2:9" ht="3" customHeight="1">
      <c r="B23" s="1513"/>
      <c r="C23" s="1514"/>
      <c r="D23" s="1514"/>
      <c r="E23" s="1514"/>
      <c r="F23" s="1514"/>
      <c r="G23" s="1514"/>
      <c r="H23" s="1514"/>
      <c r="I23" s="1515"/>
    </row>
    <row r="24" spans="2:9" ht="7.5" customHeight="1">
      <c r="B24" s="1495"/>
      <c r="C24" s="1495"/>
      <c r="D24" s="1495"/>
      <c r="E24" s="1495"/>
      <c r="F24" s="1495"/>
      <c r="G24" s="1495"/>
      <c r="H24" s="1495"/>
      <c r="I24" s="1495"/>
    </row>
    <row r="25" spans="2:9" ht="15" customHeight="1">
      <c r="B25" s="1498" t="s">
        <v>4330</v>
      </c>
      <c r="C25" s="1495"/>
      <c r="D25" s="1495"/>
      <c r="E25" s="1495"/>
      <c r="F25" s="1495"/>
      <c r="G25" s="1495"/>
      <c r="H25" s="1495"/>
      <c r="I25" s="1495"/>
    </row>
    <row r="26" spans="2:9" ht="3" customHeight="1">
      <c r="B26" s="1516"/>
      <c r="C26" s="1501"/>
      <c r="D26" s="1501"/>
      <c r="E26" s="1501"/>
      <c r="F26" s="1501"/>
      <c r="G26" s="1501"/>
      <c r="H26" s="1501"/>
      <c r="I26" s="1517"/>
    </row>
    <row r="27" spans="2:9">
      <c r="B27" s="1506" t="s">
        <v>3273</v>
      </c>
      <c r="C27" s="1495"/>
      <c r="D27" s="1518">
        <v>2</v>
      </c>
      <c r="F27" s="1495"/>
      <c r="G27" s="886" t="s">
        <v>3274</v>
      </c>
      <c r="H27" s="1495"/>
      <c r="I27" s="1519">
        <v>2</v>
      </c>
    </row>
    <row r="28" spans="2:9">
      <c r="B28" s="1503"/>
      <c r="C28" s="1509" t="s">
        <v>3275</v>
      </c>
      <c r="D28" s="1520"/>
      <c r="E28" s="1520"/>
      <c r="F28" s="1520"/>
      <c r="H28" s="1520" t="s">
        <v>3276</v>
      </c>
      <c r="I28" s="1505"/>
    </row>
    <row r="29" spans="2:9">
      <c r="B29" s="1503"/>
      <c r="C29" s="1509" t="s">
        <v>3277</v>
      </c>
      <c r="D29" s="1520"/>
      <c r="E29" s="1520"/>
      <c r="F29" s="1520"/>
      <c r="H29" s="1520" t="s">
        <v>3278</v>
      </c>
      <c r="I29" s="1505"/>
    </row>
    <row r="30" spans="2:9">
      <c r="B30" s="1503"/>
      <c r="C30" s="1509" t="s">
        <v>3279</v>
      </c>
      <c r="D30" s="1520"/>
      <c r="E30" s="1520"/>
      <c r="F30" s="1520"/>
      <c r="H30" s="1520" t="s">
        <v>3280</v>
      </c>
      <c r="I30" s="1505"/>
    </row>
    <row r="31" spans="2:9" ht="3" customHeight="1">
      <c r="B31" s="1513"/>
      <c r="C31" s="1514"/>
      <c r="D31" s="1514"/>
      <c r="E31" s="1514"/>
      <c r="F31" s="1514"/>
      <c r="G31" s="1514"/>
      <c r="H31" s="1514"/>
      <c r="I31" s="1515"/>
    </row>
    <row r="32" spans="2:9" ht="7.5" customHeight="1"/>
    <row r="33" spans="2:9" ht="15" customHeight="1">
      <c r="B33" s="805" t="s">
        <v>4332</v>
      </c>
    </row>
    <row r="34" spans="2:9" ht="3" customHeight="1">
      <c r="B34" s="1516"/>
      <c r="C34" s="1501"/>
      <c r="D34" s="1501"/>
      <c r="E34" s="1501"/>
      <c r="F34" s="1501"/>
      <c r="G34" s="1501"/>
      <c r="H34" s="1501"/>
      <c r="I34" s="1517"/>
    </row>
    <row r="35" spans="2:9">
      <c r="B35" s="1506" t="s">
        <v>4335</v>
      </c>
      <c r="C35" s="1495"/>
      <c r="D35" s="1495"/>
      <c r="F35" s="1521"/>
      <c r="H35" s="3707" t="s">
        <v>4344</v>
      </c>
      <c r="I35" s="3708"/>
    </row>
    <row r="36" spans="2:9">
      <c r="B36" s="1522" t="s">
        <v>4343</v>
      </c>
      <c r="C36" s="1520"/>
      <c r="D36" s="1520"/>
      <c r="E36" s="1495"/>
      <c r="F36" s="1523"/>
      <c r="G36" s="1524"/>
      <c r="H36" s="3707"/>
      <c r="I36" s="3708"/>
    </row>
    <row r="37" spans="2:9">
      <c r="B37" s="1522" t="s">
        <v>4341</v>
      </c>
      <c r="D37" s="1520"/>
      <c r="E37" s="1495"/>
      <c r="F37" s="1525"/>
      <c r="G37" s="1524"/>
      <c r="H37" s="3707"/>
      <c r="I37" s="3708"/>
    </row>
    <row r="38" spans="2:9">
      <c r="B38" s="1522" t="s">
        <v>4342</v>
      </c>
      <c r="D38" s="1495"/>
      <c r="E38" s="1495"/>
      <c r="F38" s="1525"/>
      <c r="G38" s="1524"/>
      <c r="H38" s="1524"/>
      <c r="I38" s="1526"/>
    </row>
    <row r="39" spans="2:9" ht="12.75" customHeight="1">
      <c r="B39" s="1522" t="s">
        <v>4340</v>
      </c>
      <c r="C39" s="1495"/>
      <c r="D39" s="1495"/>
      <c r="E39" s="1495"/>
      <c r="F39" s="1525"/>
      <c r="G39" s="1524"/>
      <c r="H39" s="1524"/>
      <c r="I39" s="1526"/>
    </row>
    <row r="40" spans="2:9">
      <c r="B40" s="1527" t="s">
        <v>4339</v>
      </c>
      <c r="C40" s="1528"/>
      <c r="D40" s="1529"/>
      <c r="E40" s="1530"/>
      <c r="F40" s="1525"/>
      <c r="G40" s="1530"/>
      <c r="H40" s="1507"/>
      <c r="I40" s="1505"/>
    </row>
    <row r="41" spans="2:9">
      <c r="B41" s="1527" t="s">
        <v>4338</v>
      </c>
      <c r="C41" s="1528"/>
      <c r="D41" s="1529"/>
      <c r="E41" s="1495"/>
      <c r="F41" s="1525"/>
      <c r="G41" s="1495"/>
      <c r="H41" s="1495"/>
      <c r="I41" s="1505"/>
    </row>
    <row r="42" spans="2:9">
      <c r="B42" s="1531" t="s">
        <v>4337</v>
      </c>
      <c r="C42" s="1532"/>
      <c r="D42" s="1532"/>
      <c r="E42" s="1495"/>
      <c r="F42" s="1525"/>
      <c r="G42" s="1495"/>
      <c r="H42" s="1495"/>
      <c r="I42" s="1505"/>
    </row>
    <row r="43" spans="2:9" ht="3" customHeight="1">
      <c r="B43" s="1513"/>
      <c r="C43" s="1514"/>
      <c r="D43" s="1514"/>
      <c r="E43" s="1514"/>
      <c r="F43" s="1514"/>
      <c r="G43" s="1514"/>
      <c r="H43" s="1514"/>
      <c r="I43" s="1515"/>
    </row>
    <row r="44" spans="2:9" ht="7.5" customHeight="1"/>
    <row r="45" spans="2:9" ht="15" customHeight="1">
      <c r="B45" s="805" t="s">
        <v>4334</v>
      </c>
    </row>
    <row r="46" spans="2:9" ht="3" customHeight="1">
      <c r="B46" s="1516"/>
      <c r="C46" s="1501"/>
      <c r="D46" s="1501"/>
      <c r="E46" s="1501"/>
      <c r="F46" s="1501"/>
      <c r="G46" s="1501"/>
      <c r="H46" s="1501"/>
      <c r="I46" s="1517"/>
    </row>
    <row r="47" spans="2:9" ht="18">
      <c r="B47" s="1506" t="s">
        <v>4333</v>
      </c>
      <c r="C47" s="1495"/>
      <c r="D47" s="1533"/>
      <c r="E47" s="1534" t="str">
        <f>Overview!H7</f>
        <v>New Construction</v>
      </c>
      <c r="F47" s="833" t="s">
        <v>4345</v>
      </c>
      <c r="H47" s="1495"/>
      <c r="I47" s="1505"/>
    </row>
    <row r="48" spans="2:9">
      <c r="B48" s="1511" t="s">
        <v>3281</v>
      </c>
      <c r="C48" s="1520"/>
      <c r="D48" s="1520" t="s">
        <v>3282</v>
      </c>
      <c r="E48" s="1495"/>
      <c r="F48" s="3716" t="str">
        <f>'Closing term sheet'!$C$30</f>
        <v>TBD</v>
      </c>
      <c r="G48" s="3717"/>
      <c r="H48" s="3717"/>
      <c r="I48" s="3718"/>
    </row>
    <row r="49" spans="2:9">
      <c r="B49" s="1511" t="s">
        <v>3283</v>
      </c>
      <c r="D49" s="1520" t="s">
        <v>3284</v>
      </c>
      <c r="E49" s="1495"/>
      <c r="F49" s="3719"/>
      <c r="G49" s="3720"/>
      <c r="H49" s="3720"/>
      <c r="I49" s="3721"/>
    </row>
    <row r="50" spans="2:9">
      <c r="B50" s="1511" t="s">
        <v>3285</v>
      </c>
      <c r="D50" s="1495"/>
      <c r="E50" s="1495"/>
      <c r="F50" s="1535"/>
      <c r="G50" s="1536"/>
      <c r="H50" s="1536"/>
      <c r="I50" s="1537"/>
    </row>
    <row r="51" spans="2:9" ht="7.5" customHeight="1">
      <c r="B51" s="1503"/>
      <c r="C51" s="1495"/>
      <c r="D51" s="1495"/>
      <c r="E51" s="1495"/>
      <c r="F51" s="1495"/>
      <c r="G51" s="1495"/>
      <c r="H51" s="1495"/>
      <c r="I51" s="1505"/>
    </row>
    <row r="52" spans="2:9">
      <c r="B52" s="1538" t="s">
        <v>4346</v>
      </c>
      <c r="C52" s="3684" t="str">
        <f>'Part I-Project Information'!F38</f>
        <v>Macon</v>
      </c>
      <c r="D52" s="3685"/>
      <c r="E52" s="1539" t="s">
        <v>4347</v>
      </c>
      <c r="F52" s="1497" t="s">
        <v>856</v>
      </c>
      <c r="G52" s="1539" t="s">
        <v>4348</v>
      </c>
      <c r="H52" s="1540">
        <f>'Part I-Project Information'!J38</f>
        <v>312012310</v>
      </c>
      <c r="I52" s="1505"/>
    </row>
    <row r="53" spans="2:9">
      <c r="B53" s="1538" t="s">
        <v>4510</v>
      </c>
      <c r="D53" s="1541" t="e">
        <f>VLOOKUP("='Part I-Project Information'!$J$39",'DCA Underwriting Assumptions'!$G$155:$O$314,9)</f>
        <v>#N/A</v>
      </c>
      <c r="I53" s="1505"/>
    </row>
    <row r="54" spans="2:9">
      <c r="B54" s="1538" t="s">
        <v>4511</v>
      </c>
      <c r="D54" s="1495"/>
      <c r="E54" s="1495"/>
      <c r="F54" s="1495"/>
      <c r="G54" s="1495"/>
      <c r="I54" s="1505"/>
    </row>
    <row r="55" spans="2:9">
      <c r="B55" s="1531" t="s">
        <v>4512</v>
      </c>
      <c r="D55" s="1542">
        <f>'Closing term sheet'!$D$33</f>
        <v>65</v>
      </c>
      <c r="E55" s="1543"/>
      <c r="F55" s="866" t="s">
        <v>3286</v>
      </c>
      <c r="G55" s="1495"/>
      <c r="H55" s="1495"/>
      <c r="I55" s="1505"/>
    </row>
    <row r="56" spans="2:9">
      <c r="B56" s="1531" t="s">
        <v>4514</v>
      </c>
      <c r="D56" s="1544">
        <f>'Closing term sheet'!$D$62</f>
        <v>1400000</v>
      </c>
      <c r="E56" s="1545"/>
      <c r="F56" s="866" t="s">
        <v>3287</v>
      </c>
      <c r="G56" s="1495"/>
      <c r="H56" s="1495"/>
      <c r="I56" s="1505"/>
    </row>
    <row r="57" spans="2:9">
      <c r="B57" s="1522" t="s">
        <v>4513</v>
      </c>
      <c r="D57" s="1546"/>
      <c r="F57" s="866" t="s">
        <v>3288</v>
      </c>
      <c r="G57" s="1495"/>
      <c r="H57" s="1495"/>
      <c r="I57" s="1505"/>
    </row>
    <row r="58" spans="2:9" ht="7.5" customHeight="1">
      <c r="B58" s="1513"/>
      <c r="C58" s="1514"/>
      <c r="D58" s="1514"/>
      <c r="E58" s="1514"/>
      <c r="F58" s="1514"/>
      <c r="G58" s="1514"/>
      <c r="H58" s="1514"/>
      <c r="I58" s="1515"/>
    </row>
    <row r="59" spans="2:9" ht="15" customHeight="1"/>
    <row r="60" spans="2:9" ht="7.5" customHeight="1">
      <c r="B60" s="1516"/>
      <c r="C60" s="1501"/>
      <c r="D60" s="1501"/>
      <c r="E60" s="1501"/>
      <c r="F60" s="1501"/>
      <c r="G60" s="1501"/>
      <c r="H60" s="1501"/>
      <c r="I60" s="1517"/>
    </row>
    <row r="61" spans="2:9">
      <c r="B61" s="3690" t="s">
        <v>3289</v>
      </c>
      <c r="C61" s="3691"/>
      <c r="D61" s="3691"/>
      <c r="E61" s="3691"/>
      <c r="F61" s="3691"/>
      <c r="G61" s="3691"/>
      <c r="H61" s="3691"/>
      <c r="I61" s="3692"/>
    </row>
    <row r="62" spans="2:9" ht="7.5" customHeight="1">
      <c r="B62" s="3686"/>
      <c r="C62" s="3687"/>
      <c r="D62" s="3687"/>
      <c r="E62" s="1495"/>
      <c r="F62" s="1495"/>
      <c r="G62" s="1547"/>
      <c r="H62" s="1495"/>
      <c r="I62" s="1505"/>
    </row>
    <row r="63" spans="2:9">
      <c r="B63" s="1548" t="s">
        <v>3291</v>
      </c>
      <c r="C63" s="1495"/>
      <c r="D63" s="1542">
        <v>4</v>
      </c>
      <c r="F63" s="1495"/>
      <c r="G63" s="3688" t="s">
        <v>3290</v>
      </c>
      <c r="H63" s="3688"/>
      <c r="I63" s="3689"/>
    </row>
    <row r="64" spans="2:9">
      <c r="B64" s="1503"/>
      <c r="C64" s="1520" t="s">
        <v>3294</v>
      </c>
      <c r="D64" s="1520" t="s">
        <v>3295</v>
      </c>
      <c r="F64" s="1495"/>
      <c r="G64" s="878" t="s">
        <v>3292</v>
      </c>
      <c r="H64" s="1495"/>
      <c r="I64" s="1549">
        <f>'Closing term sheet'!$D$35</f>
        <v>65</v>
      </c>
    </row>
    <row r="65" spans="2:9">
      <c r="B65" s="1503"/>
      <c r="C65" s="1520" t="s">
        <v>3296</v>
      </c>
      <c r="D65" s="1520" t="s">
        <v>3297</v>
      </c>
      <c r="F65" s="1495"/>
      <c r="G65" s="1550" t="s">
        <v>3293</v>
      </c>
      <c r="H65" s="1495"/>
      <c r="I65" s="1549">
        <f>C42</f>
        <v>0</v>
      </c>
    </row>
    <row r="66" spans="2:9">
      <c r="B66" s="1511"/>
      <c r="C66" s="1520" t="s">
        <v>3298</v>
      </c>
      <c r="D66" s="1495"/>
      <c r="E66" s="1520"/>
      <c r="F66" s="1495"/>
      <c r="H66" s="1495"/>
      <c r="I66" s="1551"/>
    </row>
    <row r="67" spans="2:9" ht="7.5" customHeight="1">
      <c r="B67" s="1513"/>
      <c r="C67" s="1514"/>
      <c r="D67" s="1514"/>
      <c r="E67" s="1514"/>
      <c r="F67" s="1514"/>
      <c r="G67" s="1514"/>
      <c r="H67" s="1514"/>
      <c r="I67" s="1515"/>
    </row>
    <row r="68" spans="2:9" ht="15" customHeight="1">
      <c r="B68" s="1495"/>
      <c r="C68" s="1495"/>
      <c r="D68" s="1495"/>
      <c r="E68" s="1495"/>
      <c r="F68" s="1495"/>
      <c r="G68" s="1495"/>
      <c r="H68" s="1495"/>
      <c r="I68" s="1495"/>
    </row>
    <row r="69" spans="2:9" ht="7.5" customHeight="1">
      <c r="B69" s="1516"/>
      <c r="C69" s="1501"/>
      <c r="D69" s="1501"/>
      <c r="E69" s="1501"/>
      <c r="F69" s="1501"/>
      <c r="G69" s="1501"/>
      <c r="H69" s="1501"/>
      <c r="I69" s="1517"/>
    </row>
    <row r="70" spans="2:9">
      <c r="B70" s="1506" t="s">
        <v>3299</v>
      </c>
      <c r="C70" s="1495"/>
      <c r="D70" s="1495"/>
      <c r="E70" s="1495"/>
      <c r="F70" s="1495"/>
      <c r="G70" s="1495"/>
      <c r="H70" s="1495"/>
      <c r="I70" s="1505"/>
    </row>
    <row r="71" spans="2:9" ht="7.5" customHeight="1">
      <c r="B71" s="1503"/>
      <c r="C71" s="1495"/>
      <c r="D71" s="1495"/>
      <c r="E71" s="1495"/>
      <c r="F71" s="1495"/>
      <c r="G71" s="1495"/>
      <c r="H71" s="1495"/>
      <c r="I71" s="1505"/>
    </row>
    <row r="72" spans="2:9">
      <c r="B72" s="1506" t="s">
        <v>3300</v>
      </c>
      <c r="D72" s="1495"/>
      <c r="E72" s="1495"/>
      <c r="F72" s="1495"/>
      <c r="G72" s="1495"/>
      <c r="H72" s="1495"/>
      <c r="I72" s="1533"/>
    </row>
    <row r="73" spans="2:9" ht="7.5" customHeight="1">
      <c r="B73" s="1503"/>
      <c r="C73" s="1495"/>
      <c r="D73" s="1495"/>
      <c r="E73" s="1495"/>
      <c r="F73" s="1495"/>
      <c r="G73" s="1495"/>
      <c r="H73" s="1495"/>
      <c r="I73" s="1505"/>
    </row>
    <row r="74" spans="2:9">
      <c r="B74" s="1503" t="s">
        <v>3301</v>
      </c>
      <c r="D74" s="1495"/>
      <c r="E74" s="1495"/>
      <c r="F74" s="1495" t="s">
        <v>3369</v>
      </c>
      <c r="G74" s="1495"/>
      <c r="H74" s="1495"/>
      <c r="I74" s="1552"/>
    </row>
    <row r="75" spans="2:9">
      <c r="B75" s="1503"/>
      <c r="E75" s="1495"/>
      <c r="F75" s="1495" t="s">
        <v>3370</v>
      </c>
      <c r="G75" s="1495"/>
      <c r="H75" s="1495"/>
      <c r="I75" s="1552"/>
    </row>
    <row r="76" spans="2:9">
      <c r="B76" s="1503"/>
      <c r="E76" s="1495"/>
      <c r="F76" s="1495" t="s">
        <v>3371</v>
      </c>
      <c r="G76" s="1495"/>
      <c r="H76" s="1495"/>
      <c r="I76" s="1552"/>
    </row>
    <row r="77" spans="2:9">
      <c r="B77" s="1503"/>
      <c r="E77" s="1495"/>
      <c r="F77" s="886" t="s">
        <v>3372</v>
      </c>
      <c r="G77" s="1495"/>
      <c r="H77" s="1495"/>
      <c r="I77" s="1552"/>
    </row>
    <row r="78" spans="2:9" ht="7.5" customHeight="1">
      <c r="B78" s="1513"/>
      <c r="C78" s="1514"/>
      <c r="D78" s="1514"/>
      <c r="E78" s="1514"/>
      <c r="F78" s="1514"/>
      <c r="G78" s="1514"/>
      <c r="H78" s="1514"/>
      <c r="I78" s="1515"/>
    </row>
    <row r="79" spans="2:9" ht="7.5" customHeight="1"/>
    <row r="80" spans="2:9">
      <c r="B80" s="1516"/>
      <c r="C80" s="1501"/>
      <c r="D80" s="1501"/>
      <c r="E80" s="1501"/>
      <c r="F80" s="1501"/>
      <c r="G80" s="1501"/>
      <c r="H80" s="1501"/>
      <c r="I80" s="1517"/>
    </row>
    <row r="81" spans="2:9">
      <c r="B81" s="3690" t="s">
        <v>3302</v>
      </c>
      <c r="C81" s="3691"/>
      <c r="D81" s="3691"/>
      <c r="E81" s="3691"/>
      <c r="F81" s="3691"/>
      <c r="G81" s="3691"/>
      <c r="H81" s="3691"/>
      <c r="I81" s="3692"/>
    </row>
    <row r="82" spans="2:9">
      <c r="B82" s="1503"/>
      <c r="C82" s="1495"/>
      <c r="D82" s="1495"/>
      <c r="E82" s="1495"/>
      <c r="F82" s="1495"/>
      <c r="G82" s="1495"/>
      <c r="H82" s="1495"/>
      <c r="I82" s="1505"/>
    </row>
    <row r="83" spans="2:9">
      <c r="B83" s="1506" t="s">
        <v>3303</v>
      </c>
      <c r="C83" s="1495"/>
      <c r="D83" s="1495"/>
      <c r="E83" s="1495"/>
      <c r="F83" s="1495"/>
      <c r="G83" s="1495"/>
      <c r="H83" s="1495"/>
      <c r="I83" s="1505"/>
    </row>
    <row r="84" spans="2:9">
      <c r="B84" s="1503"/>
      <c r="C84" s="886" t="s">
        <v>3304</v>
      </c>
      <c r="D84" s="1495"/>
      <c r="E84" s="1495"/>
      <c r="F84" s="3712">
        <f>'Closing term sheet'!D62</f>
        <v>1400000</v>
      </c>
      <c r="G84" s="3712"/>
      <c r="H84" s="1495"/>
      <c r="I84" s="1505"/>
    </row>
    <row r="85" spans="2:9">
      <c r="B85" s="1503"/>
      <c r="C85" s="886" t="s">
        <v>3305</v>
      </c>
      <c r="D85" s="1495"/>
      <c r="E85" s="1495"/>
      <c r="F85" s="3683" t="e">
        <f>'Part III-Sources of Funds'!I44+'Part III-Sources of Funds'!I45</f>
        <v>#VALUE!</v>
      </c>
      <c r="G85" s="3683"/>
      <c r="H85" s="1495"/>
      <c r="I85" s="1505"/>
    </row>
    <row r="86" spans="2:9">
      <c r="B86" s="1503"/>
      <c r="C86" s="886" t="s">
        <v>3306</v>
      </c>
      <c r="D86" s="1495"/>
      <c r="E86" s="1495"/>
      <c r="F86" s="3682"/>
      <c r="G86" s="3682"/>
      <c r="H86" s="1495"/>
      <c r="I86" s="1505"/>
    </row>
    <row r="87" spans="2:9">
      <c r="B87" s="1503"/>
      <c r="C87" s="1520" t="s">
        <v>3307</v>
      </c>
      <c r="D87" s="1495"/>
      <c r="E87" s="1495"/>
      <c r="F87" s="3683">
        <v>11000</v>
      </c>
      <c r="G87" s="3683"/>
      <c r="H87" s="1495"/>
      <c r="I87" s="1505"/>
    </row>
    <row r="88" spans="2:9">
      <c r="B88" s="1503"/>
      <c r="C88" s="886" t="s">
        <v>3308</v>
      </c>
      <c r="D88" s="1495"/>
      <c r="E88" s="1495"/>
      <c r="F88" s="3715"/>
      <c r="G88" s="3715"/>
      <c r="H88" s="1495"/>
      <c r="I88" s="1505"/>
    </row>
    <row r="89" spans="2:9">
      <c r="B89" s="1503"/>
      <c r="C89" s="866" t="s">
        <v>3309</v>
      </c>
      <c r="D89" s="1495"/>
      <c r="E89" s="1495"/>
      <c r="F89" s="3710" t="e">
        <f>SUM(F84:G88)</f>
        <v>#VALUE!</v>
      </c>
      <c r="G89" s="3710"/>
      <c r="H89" s="1495"/>
      <c r="I89" s="1505"/>
    </row>
    <row r="90" spans="2:9">
      <c r="B90" s="1503"/>
      <c r="C90" s="1495"/>
      <c r="D90" s="1495"/>
      <c r="E90" s="1495"/>
      <c r="F90" s="3711"/>
      <c r="G90" s="3711"/>
      <c r="H90" s="1495"/>
      <c r="I90" s="1505"/>
    </row>
    <row r="91" spans="2:9">
      <c r="B91" s="1506" t="s">
        <v>3310</v>
      </c>
      <c r="C91" s="1495"/>
      <c r="D91" s="1495"/>
      <c r="E91" s="1495"/>
      <c r="F91" s="1495"/>
      <c r="G91" s="1495"/>
      <c r="H91" s="1495"/>
      <c r="I91" s="1505"/>
    </row>
    <row r="92" spans="2:9">
      <c r="B92" s="1503"/>
      <c r="C92" s="886" t="s">
        <v>3311</v>
      </c>
      <c r="D92" s="1495"/>
      <c r="E92" s="1495"/>
      <c r="F92" s="3712"/>
      <c r="G92" s="3712"/>
      <c r="H92" s="1495"/>
      <c r="I92" s="1505"/>
    </row>
    <row r="93" spans="2:9">
      <c r="B93" s="1503"/>
      <c r="C93" s="886" t="s">
        <v>3312</v>
      </c>
      <c r="D93" s="1495"/>
      <c r="E93" s="1495"/>
      <c r="F93" s="3713"/>
      <c r="G93" s="3713"/>
      <c r="H93" s="1495"/>
      <c r="I93" s="1505"/>
    </row>
    <row r="94" spans="2:9">
      <c r="B94" s="1503"/>
      <c r="C94" s="886" t="s">
        <v>3313</v>
      </c>
      <c r="D94" s="1495"/>
      <c r="E94" s="1495"/>
      <c r="F94" s="3714" t="s">
        <v>3187</v>
      </c>
      <c r="G94" s="3709"/>
      <c r="H94" s="1495"/>
      <c r="I94" s="1505"/>
    </row>
    <row r="95" spans="2:9">
      <c r="B95" s="1503"/>
      <c r="C95" s="866" t="s">
        <v>3314</v>
      </c>
      <c r="D95" s="1495"/>
      <c r="E95" s="1495"/>
      <c r="F95" s="3710">
        <f>+SUM(F92:G94)</f>
        <v>0</v>
      </c>
      <c r="G95" s="3710"/>
      <c r="H95" s="1495"/>
      <c r="I95" s="1505"/>
    </row>
    <row r="96" spans="2:9">
      <c r="B96" s="1503"/>
      <c r="C96" s="1495"/>
      <c r="D96" s="1495"/>
      <c r="E96" s="1495"/>
      <c r="F96" s="1495"/>
      <c r="G96" s="1495"/>
      <c r="H96" s="1495"/>
      <c r="I96" s="1505"/>
    </row>
    <row r="97" spans="2:9">
      <c r="B97" s="1506" t="s">
        <v>3315</v>
      </c>
      <c r="C97" s="1495"/>
      <c r="D97" s="1495"/>
      <c r="E97" s="1495"/>
      <c r="F97" s="1495"/>
      <c r="G97" s="1495"/>
      <c r="H97" s="1495"/>
      <c r="I97" s="1505"/>
    </row>
    <row r="98" spans="2:9">
      <c r="B98" s="1503"/>
      <c r="C98" s="886" t="s">
        <v>3316</v>
      </c>
      <c r="D98" s="1495"/>
      <c r="E98" s="1495"/>
      <c r="F98" s="3712"/>
      <c r="G98" s="3712"/>
      <c r="H98" s="1495"/>
      <c r="I98" s="1505"/>
    </row>
    <row r="99" spans="2:9">
      <c r="B99" s="1503"/>
      <c r="C99" s="886" t="s">
        <v>3317</v>
      </c>
      <c r="D99" s="1495"/>
      <c r="E99" s="1495"/>
      <c r="F99" s="3713"/>
      <c r="G99" s="3713"/>
      <c r="H99" s="1495"/>
      <c r="I99" s="1505"/>
    </row>
    <row r="100" spans="2:9">
      <c r="B100" s="1503"/>
      <c r="C100" s="886" t="s">
        <v>3318</v>
      </c>
      <c r="D100" s="1495"/>
      <c r="E100" s="1495"/>
      <c r="F100" s="3715"/>
      <c r="G100" s="3715"/>
      <c r="H100" s="1495"/>
      <c r="I100" s="1505"/>
    </row>
    <row r="101" spans="2:9">
      <c r="B101" s="1503"/>
      <c r="C101" s="866" t="s">
        <v>3319</v>
      </c>
      <c r="D101" s="1495"/>
      <c r="E101" s="1495"/>
      <c r="F101" s="3710">
        <f>+SUM(F98:G100)</f>
        <v>0</v>
      </c>
      <c r="G101" s="3710"/>
      <c r="H101" s="1495"/>
      <c r="I101" s="1505"/>
    </row>
    <row r="102" spans="2:9">
      <c r="B102" s="1503"/>
      <c r="C102" s="1495"/>
      <c r="D102" s="1495"/>
      <c r="E102" s="1495"/>
      <c r="F102" s="1495"/>
      <c r="G102" s="1495"/>
      <c r="H102" s="1495"/>
      <c r="I102" s="1505"/>
    </row>
    <row r="103" spans="2:9">
      <c r="B103" s="1548" t="s">
        <v>3320</v>
      </c>
      <c r="C103" s="886"/>
      <c r="D103" s="1495"/>
      <c r="E103" s="1495"/>
      <c r="F103" s="3709">
        <f>'Part III-Sources of Funds'!I46+'Part III-Sources of Funds'!I47</f>
        <v>0</v>
      </c>
      <c r="G103" s="3709"/>
      <c r="H103" s="1495"/>
      <c r="I103" s="1505"/>
    </row>
    <row r="104" spans="2:9">
      <c r="B104" s="1503"/>
      <c r="C104" s="1495"/>
      <c r="D104" s="1495"/>
      <c r="E104" s="1495"/>
      <c r="F104" s="1495"/>
      <c r="G104" s="1495"/>
      <c r="H104" s="1495"/>
      <c r="I104" s="1553" t="s">
        <v>3321</v>
      </c>
    </row>
    <row r="105" spans="2:9">
      <c r="B105" s="1506" t="s">
        <v>3322</v>
      </c>
      <c r="C105" s="1495"/>
      <c r="D105" s="1495"/>
      <c r="E105" s="1495"/>
      <c r="F105" s="3709" t="e">
        <f>+F103+F101+F95+F89</f>
        <v>#VALUE!</v>
      </c>
      <c r="G105" s="3709"/>
      <c r="H105" s="1495"/>
      <c r="I105" s="1505"/>
    </row>
    <row r="106" spans="2:9">
      <c r="B106" s="1513"/>
      <c r="C106" s="1514"/>
      <c r="D106" s="1514"/>
      <c r="E106" s="1514"/>
      <c r="F106" s="1514"/>
      <c r="G106" s="1514"/>
      <c r="H106" s="1514"/>
      <c r="I106" s="1515"/>
    </row>
    <row r="108" spans="2:9">
      <c r="C108" s="1554" t="s">
        <v>3010</v>
      </c>
    </row>
    <row r="109" spans="2:9">
      <c r="C109" s="1554" t="s">
        <v>3013</v>
      </c>
    </row>
  </sheetData>
  <sheetProtection algorithmName="SHA-512" hashValue="Pge+DSYQqjdk4RWpj4gQU4BKgwxetnK7MMwsWTwxt7+1F3Q3QDLO3zpKZ176bc0Gva9Upzj9CTskqT8GXKoapg==" saltValue="i6gp/VdvnFOIdFdcgULNuw=="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28515625" style="2176" customWidth="1"/>
    <col min="2" max="13" width="7.7109375" style="2176" customWidth="1"/>
    <col min="14" max="15" width="5.85546875" style="2176" customWidth="1"/>
    <col min="16" max="16384" width="8.85546875" style="2176"/>
  </cols>
  <sheetData>
    <row r="1" spans="1:26" ht="18">
      <c r="N1" s="2177" t="s">
        <v>1510</v>
      </c>
      <c r="O1" s="2177"/>
      <c r="P1" s="2177"/>
      <c r="Q1" s="2177"/>
      <c r="R1" s="2177"/>
      <c r="S1" s="2177"/>
      <c r="T1" s="2177"/>
      <c r="U1" s="2177"/>
      <c r="V1" s="2177"/>
      <c r="W1" s="2177"/>
      <c r="X1" s="2177"/>
      <c r="Y1" s="2177"/>
      <c r="Z1" s="2177"/>
    </row>
    <row r="2" spans="1:26">
      <c r="N2" s="2178" t="s">
        <v>1511</v>
      </c>
      <c r="O2" s="2178"/>
      <c r="P2" s="2178"/>
      <c r="Q2" s="2178"/>
      <c r="R2" s="2178"/>
      <c r="S2" s="2178"/>
      <c r="T2" s="2178"/>
      <c r="U2" s="2178"/>
      <c r="V2" s="2178"/>
      <c r="W2" s="2178"/>
      <c r="X2" s="2178"/>
      <c r="Y2" s="2178"/>
      <c r="Z2" s="2178"/>
    </row>
    <row r="3" spans="1:26">
      <c r="N3" s="2179" t="s">
        <v>1512</v>
      </c>
      <c r="O3" s="2179"/>
      <c r="P3" s="2179"/>
      <c r="Q3" s="2179"/>
      <c r="R3" s="2179"/>
      <c r="S3" s="2179"/>
      <c r="T3" s="2179"/>
      <c r="U3" s="2179"/>
      <c r="V3" s="2179"/>
      <c r="W3" s="2179"/>
      <c r="X3" s="2179"/>
      <c r="Y3" s="2179"/>
      <c r="Z3" s="2179"/>
    </row>
    <row r="4" spans="1:26" ht="16.5">
      <c r="B4" s="2180"/>
      <c r="C4" s="2180"/>
      <c r="D4" s="2180"/>
      <c r="E4" s="2180"/>
      <c r="F4" s="2180"/>
      <c r="G4" s="2180"/>
      <c r="H4" s="2180"/>
      <c r="I4" s="2180"/>
      <c r="J4" s="2180"/>
      <c r="K4" s="2180"/>
      <c r="L4" s="2180"/>
      <c r="M4" s="2180"/>
      <c r="N4" s="2181" t="s">
        <v>709</v>
      </c>
    </row>
    <row r="5" spans="1:26" ht="59.25" customHeight="1">
      <c r="A5" s="3723" t="s">
        <v>2768</v>
      </c>
      <c r="B5" s="3723"/>
      <c r="C5" s="3723"/>
      <c r="D5" s="3723"/>
      <c r="E5" s="3723"/>
      <c r="F5" s="3723"/>
      <c r="G5" s="3723"/>
      <c r="H5" s="3723"/>
      <c r="I5" s="3723"/>
      <c r="J5" s="3723"/>
      <c r="K5" s="3723"/>
      <c r="L5" s="3723"/>
      <c r="M5" s="3723"/>
    </row>
    <row r="6" spans="1:26" ht="11.45" customHeight="1">
      <c r="A6" s="2180"/>
      <c r="B6" s="2180"/>
      <c r="C6" s="2180"/>
      <c r="D6" s="2180"/>
      <c r="E6" s="2180"/>
      <c r="F6" s="2180"/>
      <c r="G6" s="2180"/>
      <c r="H6" s="2180"/>
      <c r="I6" s="2180"/>
      <c r="J6" s="2180"/>
      <c r="K6" s="2180"/>
      <c r="L6" s="2180"/>
      <c r="M6" s="2180"/>
    </row>
    <row r="7" spans="1:26" ht="16.5">
      <c r="A7" s="2180" t="s">
        <v>714</v>
      </c>
      <c r="B7" s="2180"/>
      <c r="C7" s="2180"/>
      <c r="D7" s="2180"/>
      <c r="E7" s="2180"/>
      <c r="F7" s="2180"/>
      <c r="G7" s="2180"/>
      <c r="H7" s="2180"/>
      <c r="I7" s="2180"/>
      <c r="J7" s="2180"/>
      <c r="K7" s="2180"/>
      <c r="L7" s="2180"/>
      <c r="M7" s="2180"/>
    </row>
    <row r="8" spans="1:26" ht="11.45" customHeight="1">
      <c r="A8" s="2180"/>
      <c r="B8" s="2180"/>
      <c r="C8" s="2180"/>
      <c r="D8" s="2180"/>
      <c r="E8" s="2180"/>
      <c r="F8" s="2180"/>
      <c r="G8" s="2180"/>
      <c r="H8" s="2180"/>
      <c r="I8" s="2180"/>
      <c r="J8" s="2180"/>
      <c r="K8" s="2180"/>
      <c r="L8" s="2180"/>
      <c r="M8" s="2180"/>
    </row>
    <row r="9" spans="1:26" ht="16.5">
      <c r="A9" s="3724" t="s">
        <v>1921</v>
      </c>
      <c r="B9" s="3724"/>
      <c r="C9" s="3724"/>
      <c r="D9" s="3724"/>
      <c r="E9" s="3724"/>
      <c r="F9" s="3724"/>
      <c r="G9" s="3724"/>
      <c r="H9" s="3724"/>
      <c r="I9" s="3724"/>
      <c r="J9" s="3724"/>
      <c r="K9" s="3724"/>
      <c r="L9" s="3724"/>
      <c r="M9" s="3724"/>
    </row>
    <row r="10" spans="1:26" ht="6.75" customHeight="1">
      <c r="A10" s="3724"/>
      <c r="B10" s="3724"/>
      <c r="C10" s="3724"/>
      <c r="D10" s="3724"/>
      <c r="E10" s="3724"/>
      <c r="F10" s="3724"/>
      <c r="G10" s="3724"/>
      <c r="H10" s="3724"/>
      <c r="I10" s="3724"/>
      <c r="J10" s="3724"/>
      <c r="K10" s="3724"/>
      <c r="L10" s="3724"/>
      <c r="M10" s="3724"/>
    </row>
    <row r="11" spans="1:26" ht="44.25" customHeight="1">
      <c r="A11" s="3725" t="s">
        <v>4126</v>
      </c>
      <c r="B11" s="3725"/>
      <c r="C11" s="3725"/>
      <c r="D11" s="3725"/>
      <c r="E11" s="3725"/>
      <c r="F11" s="3725"/>
      <c r="G11" s="3725"/>
      <c r="H11" s="3725"/>
      <c r="I11" s="3725"/>
      <c r="J11" s="3725"/>
      <c r="K11" s="3725"/>
      <c r="L11" s="3725"/>
      <c r="M11" s="3725"/>
    </row>
    <row r="12" spans="1:26" ht="3" customHeight="1">
      <c r="A12" s="3724"/>
      <c r="B12" s="3724"/>
      <c r="C12" s="3724"/>
      <c r="D12" s="3724"/>
      <c r="E12" s="3724"/>
      <c r="F12" s="3724"/>
      <c r="G12" s="3724"/>
      <c r="H12" s="3724"/>
      <c r="I12" s="3724"/>
      <c r="J12" s="3724"/>
      <c r="K12" s="3724"/>
      <c r="L12" s="3724"/>
      <c r="M12" s="3724"/>
    </row>
    <row r="13" spans="1:26" ht="96" customHeight="1">
      <c r="A13" s="2182" t="s">
        <v>1750</v>
      </c>
      <c r="B13" s="3726" t="s">
        <v>3703</v>
      </c>
      <c r="C13" s="3726"/>
      <c r="D13" s="3726"/>
      <c r="E13" s="3726"/>
      <c r="F13" s="3726"/>
      <c r="G13" s="3726"/>
      <c r="H13" s="3726"/>
      <c r="I13" s="3726"/>
      <c r="J13" s="3726"/>
      <c r="K13" s="3726"/>
      <c r="L13" s="3726"/>
      <c r="M13" s="3726"/>
    </row>
    <row r="14" spans="1:26" ht="47.25" customHeight="1">
      <c r="A14" s="2182" t="s">
        <v>1751</v>
      </c>
      <c r="B14" s="3726" t="s">
        <v>3704</v>
      </c>
      <c r="C14" s="3726"/>
      <c r="D14" s="3726"/>
      <c r="E14" s="3726"/>
      <c r="F14" s="3726"/>
      <c r="G14" s="3726"/>
      <c r="H14" s="3726"/>
      <c r="I14" s="3726"/>
      <c r="J14" s="3726"/>
      <c r="K14" s="3726"/>
      <c r="L14" s="3726"/>
      <c r="M14" s="3726"/>
    </row>
    <row r="15" spans="1:26" ht="117" customHeight="1">
      <c r="A15" s="2182" t="s">
        <v>1752</v>
      </c>
      <c r="B15" s="3726" t="s">
        <v>3705</v>
      </c>
      <c r="C15" s="3726"/>
      <c r="D15" s="3726"/>
      <c r="E15" s="3726"/>
      <c r="F15" s="3726"/>
      <c r="G15" s="3726"/>
      <c r="H15" s="3726"/>
      <c r="I15" s="3726"/>
      <c r="J15" s="3726"/>
      <c r="K15" s="3726"/>
      <c r="L15" s="3726"/>
      <c r="M15" s="3726"/>
    </row>
    <row r="16" spans="1:26" ht="147" customHeight="1">
      <c r="A16" s="2182" t="s">
        <v>2381</v>
      </c>
      <c r="B16" s="3726" t="s">
        <v>3479</v>
      </c>
      <c r="C16" s="3726"/>
      <c r="D16" s="3726"/>
      <c r="E16" s="3726"/>
      <c r="F16" s="3726"/>
      <c r="G16" s="3726"/>
      <c r="H16" s="3726"/>
      <c r="I16" s="3726"/>
      <c r="J16" s="3726"/>
      <c r="K16" s="3726"/>
      <c r="L16" s="3726"/>
      <c r="M16" s="3726"/>
    </row>
    <row r="17" spans="1:13" ht="48.75" customHeight="1">
      <c r="A17" s="2182" t="s">
        <v>1561</v>
      </c>
      <c r="B17" s="3726" t="s">
        <v>689</v>
      </c>
      <c r="C17" s="3726"/>
      <c r="D17" s="3726"/>
      <c r="E17" s="3726"/>
      <c r="F17" s="3726"/>
      <c r="G17" s="3726"/>
      <c r="H17" s="3726"/>
      <c r="I17" s="3726"/>
      <c r="J17" s="3726"/>
      <c r="K17" s="3726"/>
      <c r="L17" s="3726"/>
      <c r="M17" s="3726"/>
    </row>
    <row r="18" spans="1:13" ht="165" customHeight="1">
      <c r="A18" s="2182" t="s">
        <v>1562</v>
      </c>
      <c r="B18" s="3726" t="s">
        <v>3478</v>
      </c>
      <c r="C18" s="3726"/>
      <c r="D18" s="3726"/>
      <c r="E18" s="3726"/>
      <c r="F18" s="3726"/>
      <c r="G18" s="3726"/>
      <c r="H18" s="3726"/>
      <c r="I18" s="3726"/>
      <c r="J18" s="3726"/>
      <c r="K18" s="3726"/>
      <c r="L18" s="3726"/>
      <c r="M18" s="3726"/>
    </row>
    <row r="19" spans="1:13" ht="48.75" customHeight="1">
      <c r="A19" s="2182" t="s">
        <v>99</v>
      </c>
      <c r="B19" s="3722" t="s">
        <v>3706</v>
      </c>
      <c r="C19" s="3722"/>
      <c r="D19" s="3722"/>
      <c r="E19" s="3722"/>
      <c r="F19" s="3722"/>
      <c r="G19" s="3722"/>
      <c r="H19" s="3722"/>
      <c r="I19" s="3722"/>
      <c r="J19" s="3722"/>
      <c r="K19" s="3722"/>
      <c r="L19" s="3722"/>
      <c r="M19" s="3722"/>
    </row>
    <row r="20" spans="1:13" ht="50.25" customHeight="1">
      <c r="A20" s="2182" t="s">
        <v>516</v>
      </c>
      <c r="B20" s="3726" t="s">
        <v>3481</v>
      </c>
      <c r="C20" s="3726"/>
      <c r="D20" s="3726"/>
      <c r="E20" s="3726"/>
      <c r="F20" s="3726"/>
      <c r="G20" s="3726"/>
      <c r="H20" s="3726"/>
      <c r="I20" s="3726"/>
      <c r="J20" s="3726"/>
      <c r="K20" s="3726"/>
      <c r="L20" s="3726"/>
      <c r="M20" s="3726"/>
    </row>
    <row r="21" spans="1:13" ht="31.5" customHeight="1">
      <c r="A21" s="2182" t="s">
        <v>517</v>
      </c>
      <c r="B21" s="3726" t="s">
        <v>3509</v>
      </c>
      <c r="C21" s="3726"/>
      <c r="D21" s="3726"/>
      <c r="E21" s="3726"/>
      <c r="F21" s="3726"/>
      <c r="G21" s="3726"/>
      <c r="H21" s="3726"/>
      <c r="I21" s="3726"/>
      <c r="J21" s="3726"/>
      <c r="K21" s="3726"/>
      <c r="L21" s="3726"/>
      <c r="M21" s="3726"/>
    </row>
    <row r="22" spans="1:13" ht="1.5" customHeight="1">
      <c r="A22" s="3724"/>
      <c r="B22" s="3724"/>
      <c r="C22" s="3724"/>
      <c r="D22" s="3724"/>
      <c r="E22" s="3724"/>
      <c r="F22" s="3724"/>
      <c r="G22" s="3724"/>
      <c r="H22" s="3724"/>
      <c r="I22" s="3724"/>
      <c r="J22" s="3724"/>
      <c r="K22" s="3724"/>
      <c r="L22" s="3724"/>
      <c r="M22" s="3724"/>
    </row>
    <row r="23" spans="1:13" ht="3" customHeight="1">
      <c r="A23" s="3724"/>
      <c r="B23" s="3724"/>
      <c r="C23" s="3724"/>
      <c r="D23" s="3724"/>
      <c r="E23" s="3724"/>
      <c r="F23" s="3724"/>
      <c r="G23" s="3724"/>
      <c r="H23" s="3724"/>
      <c r="I23" s="3724"/>
      <c r="J23" s="3724"/>
      <c r="K23" s="3724"/>
      <c r="L23" s="3724"/>
      <c r="M23" s="3724"/>
    </row>
    <row r="24" spans="1:13" ht="13.5" customHeight="1">
      <c r="A24" s="3724" t="s">
        <v>1477</v>
      </c>
      <c r="B24" s="3724"/>
      <c r="C24" s="3724"/>
      <c r="D24" s="3724"/>
      <c r="E24" s="3724"/>
      <c r="F24" s="3724"/>
      <c r="G24" s="3724"/>
      <c r="H24" s="3724"/>
      <c r="I24" s="3724"/>
      <c r="J24" s="3724"/>
      <c r="K24" s="3724"/>
      <c r="L24" s="3724"/>
      <c r="M24" s="3724"/>
    </row>
    <row r="25" spans="1:13" ht="32.25" customHeight="1">
      <c r="A25" s="2182" t="s">
        <v>1478</v>
      </c>
      <c r="B25" s="3726" t="s">
        <v>3510</v>
      </c>
      <c r="C25" s="3726"/>
      <c r="D25" s="3726"/>
      <c r="E25" s="3726"/>
      <c r="F25" s="3726"/>
      <c r="G25" s="3726"/>
      <c r="H25" s="3726"/>
      <c r="I25" s="3726"/>
      <c r="J25" s="3726"/>
      <c r="K25" s="3726"/>
      <c r="L25" s="3726"/>
      <c r="M25" s="3726"/>
    </row>
    <row r="26" spans="1:13" ht="31.5" customHeight="1">
      <c r="A26" s="2182" t="s">
        <v>1478</v>
      </c>
      <c r="B26" s="3726" t="s">
        <v>3511</v>
      </c>
      <c r="C26" s="3726"/>
      <c r="D26" s="3726"/>
      <c r="E26" s="3726"/>
      <c r="F26" s="3726"/>
      <c r="G26" s="3726"/>
      <c r="H26" s="3726"/>
      <c r="I26" s="3726"/>
      <c r="J26" s="3726"/>
      <c r="K26" s="3726"/>
      <c r="L26" s="3726"/>
      <c r="M26" s="3726"/>
    </row>
    <row r="27" spans="1:13" ht="78.75" customHeight="1">
      <c r="A27" s="2182" t="s">
        <v>1478</v>
      </c>
      <c r="B27" s="3726" t="s">
        <v>2769</v>
      </c>
      <c r="C27" s="3726"/>
      <c r="D27" s="3726"/>
      <c r="E27" s="3726"/>
      <c r="F27" s="3726"/>
      <c r="G27" s="3726"/>
      <c r="H27" s="3726"/>
      <c r="I27" s="3726"/>
      <c r="J27" s="3726"/>
      <c r="K27" s="3726"/>
      <c r="L27" s="3726"/>
      <c r="M27" s="3726"/>
    </row>
    <row r="28" spans="1:13" ht="7.5" customHeight="1">
      <c r="A28" s="3724"/>
      <c r="B28" s="3724"/>
      <c r="C28" s="3724"/>
      <c r="D28" s="3724"/>
      <c r="E28" s="3724"/>
      <c r="F28" s="3724"/>
      <c r="G28" s="3724"/>
      <c r="H28" s="3724"/>
      <c r="I28" s="3724"/>
      <c r="J28" s="3724"/>
      <c r="K28" s="3724"/>
      <c r="L28" s="3724"/>
      <c r="M28" s="3724"/>
    </row>
    <row r="29" spans="1:13" ht="43.5" customHeight="1">
      <c r="A29" s="3726" t="s">
        <v>955</v>
      </c>
      <c r="B29" s="3726"/>
      <c r="C29" s="3726"/>
      <c r="D29" s="3726"/>
      <c r="E29" s="3726"/>
      <c r="F29" s="3726"/>
      <c r="G29" s="3726"/>
      <c r="H29" s="3726"/>
      <c r="I29" s="3726"/>
      <c r="J29" s="3726"/>
      <c r="K29" s="3726"/>
      <c r="L29" s="3726"/>
      <c r="M29" s="3726"/>
    </row>
    <row r="30" spans="1:13" ht="3" customHeight="1">
      <c r="A30" s="3724"/>
      <c r="B30" s="3724"/>
      <c r="C30" s="3724"/>
      <c r="D30" s="3724"/>
      <c r="E30" s="3724"/>
      <c r="F30" s="3724"/>
      <c r="G30" s="3724"/>
      <c r="H30" s="3724"/>
      <c r="I30" s="3724"/>
      <c r="J30" s="3724"/>
      <c r="K30" s="3724"/>
      <c r="L30" s="3724"/>
      <c r="M30" s="3724"/>
    </row>
    <row r="31" spans="1:13" ht="32.25" customHeight="1">
      <c r="A31" s="3726" t="s">
        <v>2770</v>
      </c>
      <c r="B31" s="3726"/>
      <c r="C31" s="3726"/>
      <c r="D31" s="3726"/>
      <c r="E31" s="3726"/>
      <c r="F31" s="3726"/>
      <c r="G31" s="3726"/>
      <c r="H31" s="3726"/>
      <c r="I31" s="3726"/>
      <c r="J31" s="3726"/>
      <c r="K31" s="3726"/>
      <c r="L31" s="3726"/>
      <c r="M31" s="3726"/>
    </row>
    <row r="32" spans="1:13" ht="4.5" customHeight="1">
      <c r="A32" s="3724"/>
      <c r="B32" s="3724"/>
      <c r="C32" s="3724"/>
      <c r="D32" s="3724"/>
      <c r="E32" s="3724"/>
      <c r="F32" s="3724"/>
      <c r="G32" s="3724"/>
      <c r="H32" s="3724"/>
      <c r="I32" s="3724"/>
      <c r="J32" s="3724"/>
      <c r="K32" s="3724"/>
      <c r="L32" s="3724"/>
      <c r="M32" s="3724"/>
    </row>
    <row r="33" spans="1:13" ht="16.5">
      <c r="A33" s="3724" t="s">
        <v>931</v>
      </c>
      <c r="B33" s="3724"/>
      <c r="C33" s="3724"/>
      <c r="D33" s="3724"/>
      <c r="E33" s="3724"/>
      <c r="F33" s="3724"/>
      <c r="G33" s="3724"/>
      <c r="H33" s="3724"/>
      <c r="I33" s="3724"/>
      <c r="J33" s="3724"/>
      <c r="K33" s="3724"/>
      <c r="L33" s="3724"/>
      <c r="M33" s="3724"/>
    </row>
    <row r="34" spans="1:13" ht="6" customHeight="1">
      <c r="A34" s="2183"/>
      <c r="B34" s="2183"/>
      <c r="C34" s="2183"/>
      <c r="D34" s="2183"/>
      <c r="E34" s="2183"/>
      <c r="F34" s="2183"/>
      <c r="G34" s="2183"/>
      <c r="H34" s="2183"/>
      <c r="I34" s="2183"/>
      <c r="J34" s="2183"/>
      <c r="K34" s="2183"/>
      <c r="L34" s="2183"/>
      <c r="M34" s="2183"/>
    </row>
    <row r="35" spans="1:13" ht="16.5">
      <c r="A35" s="3727"/>
      <c r="B35" s="3727"/>
      <c r="C35" s="3727"/>
      <c r="D35" s="3727"/>
      <c r="E35" s="3727"/>
      <c r="F35" s="3727"/>
      <c r="G35" s="2184"/>
      <c r="H35" s="3727"/>
      <c r="I35" s="3727"/>
      <c r="J35" s="3727"/>
      <c r="K35" s="3727"/>
      <c r="L35" s="3727"/>
      <c r="M35" s="3727"/>
    </row>
    <row r="36" spans="1:13" ht="12" customHeight="1">
      <c r="A36" s="3728" t="s">
        <v>932</v>
      </c>
      <c r="B36" s="3728"/>
      <c r="C36" s="3728"/>
      <c r="D36" s="3728"/>
      <c r="E36" s="3728"/>
      <c r="F36" s="3728"/>
      <c r="G36" s="2184"/>
      <c r="H36" s="3728" t="s">
        <v>1996</v>
      </c>
      <c r="I36" s="3728"/>
      <c r="J36" s="3728"/>
      <c r="K36" s="3728"/>
      <c r="L36" s="3728"/>
      <c r="M36" s="3728"/>
    </row>
    <row r="37" spans="1:13" ht="6" customHeight="1">
      <c r="A37" s="2184"/>
      <c r="B37" s="2184"/>
      <c r="C37" s="2184"/>
      <c r="D37" s="2184"/>
      <c r="E37" s="2184"/>
      <c r="F37" s="2184"/>
      <c r="G37" s="2184"/>
      <c r="H37" s="2184"/>
      <c r="I37" s="2184"/>
      <c r="J37" s="2184"/>
      <c r="K37" s="2184"/>
      <c r="L37" s="2184"/>
      <c r="M37" s="2184"/>
    </row>
    <row r="38" spans="1:13" ht="16.5">
      <c r="A38" s="3727"/>
      <c r="B38" s="3727"/>
      <c r="C38" s="3727"/>
      <c r="D38" s="3727"/>
      <c r="E38" s="3727"/>
      <c r="F38" s="3727"/>
      <c r="G38" s="2184"/>
      <c r="H38" s="3729"/>
      <c r="I38" s="3729"/>
      <c r="J38" s="3729"/>
      <c r="K38" s="3729"/>
      <c r="L38" s="3729"/>
      <c r="M38" s="3729"/>
    </row>
    <row r="39" spans="1:13" ht="12" customHeight="1">
      <c r="A39" s="3728" t="s">
        <v>933</v>
      </c>
      <c r="B39" s="3728"/>
      <c r="C39" s="3728"/>
      <c r="D39" s="3728"/>
      <c r="E39" s="3728"/>
      <c r="F39" s="3728"/>
      <c r="G39" s="2184"/>
      <c r="H39" s="3728" t="s">
        <v>934</v>
      </c>
      <c r="I39" s="3728"/>
      <c r="J39" s="3728"/>
      <c r="K39" s="3728"/>
      <c r="L39" s="3728"/>
      <c r="M39" s="3728"/>
    </row>
    <row r="40" spans="1:13" ht="3" customHeight="1">
      <c r="A40" s="2185"/>
      <c r="B40" s="2185"/>
      <c r="C40" s="2185"/>
      <c r="D40" s="2185"/>
      <c r="E40" s="2185"/>
      <c r="F40" s="2185"/>
      <c r="G40" s="2184"/>
      <c r="H40" s="2185"/>
      <c r="I40" s="2185"/>
      <c r="J40" s="2185"/>
      <c r="K40" s="2185"/>
      <c r="L40" s="2185"/>
      <c r="M40" s="2185"/>
    </row>
    <row r="41" spans="1:13" ht="11.45" customHeight="1">
      <c r="A41" s="2180"/>
      <c r="B41" s="2180"/>
      <c r="C41" s="2180"/>
      <c r="D41" s="2180"/>
      <c r="E41" s="2180"/>
      <c r="F41" s="2180"/>
      <c r="G41" s="2180"/>
      <c r="H41" s="3730" t="s">
        <v>935</v>
      </c>
      <c r="I41" s="3730"/>
      <c r="J41" s="3730"/>
      <c r="K41" s="3730"/>
      <c r="L41" s="3730"/>
      <c r="M41" s="3730"/>
    </row>
    <row r="42" spans="1:13" ht="11.45" customHeight="1">
      <c r="A42" s="2180"/>
      <c r="B42" s="2180"/>
      <c r="C42" s="2180"/>
      <c r="D42" s="2180"/>
      <c r="E42" s="2180"/>
      <c r="F42" s="2180"/>
      <c r="G42" s="2180"/>
    </row>
    <row r="43" spans="1:13" ht="11.45" customHeight="1">
      <c r="A43" s="2180"/>
      <c r="B43" s="2180"/>
      <c r="C43" s="2180"/>
      <c r="D43" s="2180"/>
      <c r="E43" s="2180"/>
      <c r="F43" s="2180"/>
      <c r="G43" s="2180"/>
      <c r="H43" s="2180"/>
      <c r="I43" s="2180"/>
      <c r="J43" s="2180"/>
      <c r="K43" s="2180"/>
      <c r="L43" s="2180"/>
      <c r="M43" s="2180"/>
    </row>
    <row r="44" spans="1:13" ht="11.45" customHeight="1">
      <c r="A44" s="2180"/>
      <c r="B44" s="2180"/>
      <c r="C44" s="2180"/>
      <c r="D44" s="2180"/>
      <c r="E44" s="2180"/>
      <c r="F44" s="2180"/>
      <c r="G44" s="2180"/>
      <c r="H44" s="2180"/>
      <c r="I44" s="2180"/>
      <c r="J44" s="2180"/>
      <c r="K44" s="2180"/>
      <c r="L44" s="2180"/>
      <c r="M44" s="2180"/>
    </row>
    <row r="45" spans="1:13" ht="11.45" customHeight="1"/>
    <row r="46" spans="1:13" ht="11.45" customHeight="1"/>
    <row r="47" spans="1:13" ht="11.45" customHeight="1"/>
    <row r="48" spans="1:13" ht="11.45" customHeight="1"/>
    <row r="49" ht="11.45" customHeight="1"/>
  </sheetData>
  <sheetProtection algorithmName="SHA-512" hashValue="9+pyzrN3qcZTSKmGAUuK6gVLNBxv+3ubpuT81E156jHvP/wmbW2F0plrBQW/Eqj6Hjvf1Tlq9jQ3nKpz22Xcdg==" saltValue="lJwKPRMogAZfxVyCLujn5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B155" zoomScale="155" zoomScaleNormal="155"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6"/>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6"/>
      <c r="AB1" s="996"/>
    </row>
    <row r="2" spans="1:28" s="280" customFormat="1" ht="13.15" customHeight="1">
      <c r="A2" s="3734" t="s">
        <v>729</v>
      </c>
      <c r="B2" s="3735"/>
      <c r="C2" s="3735"/>
      <c r="D2" s="3735"/>
      <c r="E2" s="3735"/>
      <c r="F2" s="3735"/>
      <c r="G2" s="3735"/>
      <c r="H2" s="3735"/>
      <c r="I2" s="3735"/>
      <c r="J2" s="3735"/>
      <c r="K2" s="3735"/>
      <c r="L2" s="3735"/>
      <c r="M2" s="3735"/>
      <c r="N2" s="3735"/>
      <c r="O2" s="3735"/>
      <c r="P2" s="3735"/>
      <c r="Q2" s="3735"/>
      <c r="R2" s="3736"/>
      <c r="S2" s="175"/>
      <c r="T2" s="175"/>
      <c r="U2" s="175"/>
      <c r="AA2" s="536"/>
      <c r="AB2" s="536"/>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3064</v>
      </c>
      <c r="R4" s="178" t="s">
        <v>1743</v>
      </c>
      <c r="S4" s="175"/>
      <c r="T4" s="175"/>
      <c r="U4" s="175"/>
      <c r="W4" s="284"/>
      <c r="X4" s="284"/>
      <c r="Y4" s="284"/>
      <c r="Z4" s="284"/>
      <c r="AA4" s="536"/>
      <c r="AB4" s="536"/>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45" customHeight="1">
      <c r="A6" s="285" t="s">
        <v>1744</v>
      </c>
      <c r="B6" s="177"/>
      <c r="C6" s="177"/>
      <c r="D6" s="175"/>
      <c r="E6" s="175"/>
      <c r="F6" s="177" t="s">
        <v>513</v>
      </c>
      <c r="G6" s="177"/>
      <c r="H6" s="175"/>
      <c r="I6" s="175"/>
      <c r="J6" s="177" t="s">
        <v>1745</v>
      </c>
      <c r="K6" s="177"/>
      <c r="L6" s="177" t="s">
        <v>2803</v>
      </c>
      <c r="M6" s="177"/>
      <c r="N6" s="177"/>
      <c r="O6" s="177"/>
      <c r="P6" s="175"/>
      <c r="Q6" s="1610" t="s">
        <v>1746</v>
      </c>
      <c r="R6" s="1610">
        <v>950000</v>
      </c>
      <c r="S6" s="175"/>
      <c r="U6" s="175"/>
      <c r="V6" s="1001"/>
      <c r="W6" s="1001"/>
      <c r="X6" s="178"/>
      <c r="AA6" s="536"/>
      <c r="AB6" s="536"/>
    </row>
    <row r="7" spans="1:28" s="280" customFormat="1" ht="11.45" customHeight="1">
      <c r="A7" s="285"/>
      <c r="B7" s="177"/>
      <c r="C7" s="177"/>
      <c r="D7" s="175"/>
      <c r="E7" s="175"/>
      <c r="F7" s="177"/>
      <c r="G7" s="177"/>
      <c r="H7" s="175"/>
      <c r="I7" s="175"/>
      <c r="J7" s="177"/>
      <c r="K7" s="177"/>
      <c r="L7" s="177" t="s">
        <v>2805</v>
      </c>
      <c r="M7" s="177"/>
      <c r="N7" s="177"/>
      <c r="O7" s="177"/>
      <c r="P7" s="175"/>
      <c r="Q7" s="1610" t="s">
        <v>1746</v>
      </c>
      <c r="R7" s="682">
        <v>850000</v>
      </c>
      <c r="S7" s="175"/>
      <c r="U7" s="175"/>
      <c r="V7" s="1001"/>
      <c r="W7" s="1001"/>
      <c r="X7" s="178"/>
      <c r="AA7" s="536"/>
      <c r="AB7" s="536"/>
    </row>
    <row r="8" spans="1:28" s="280" customFormat="1" ht="11.45" customHeight="1">
      <c r="F8" s="177"/>
      <c r="G8" s="177"/>
      <c r="H8" s="175"/>
      <c r="I8" s="175"/>
      <c r="J8" s="177"/>
      <c r="L8" s="177" t="s">
        <v>2864</v>
      </c>
      <c r="M8" s="177"/>
      <c r="N8" s="177"/>
      <c r="O8" s="177"/>
      <c r="P8" s="175"/>
      <c r="Q8" s="1610" t="s">
        <v>1746</v>
      </c>
      <c r="R8" s="1610">
        <v>1200000</v>
      </c>
      <c r="S8" s="175"/>
      <c r="T8" s="175"/>
      <c r="U8" s="175"/>
      <c r="V8" s="1001"/>
      <c r="W8" s="1001"/>
      <c r="X8" s="178"/>
      <c r="AA8" s="536"/>
      <c r="AB8" s="536"/>
    </row>
    <row r="9" spans="1:28" s="280" customFormat="1" ht="11.45" customHeight="1">
      <c r="F9" s="177"/>
      <c r="G9" s="177"/>
      <c r="H9" s="175"/>
      <c r="I9" s="175"/>
      <c r="J9" s="177" t="s">
        <v>1268</v>
      </c>
      <c r="K9" s="177"/>
      <c r="L9" s="177"/>
      <c r="M9" s="177"/>
      <c r="N9" s="177"/>
      <c r="O9" s="177"/>
      <c r="P9" s="175"/>
      <c r="Q9" s="1610" t="s">
        <v>1746</v>
      </c>
      <c r="R9" s="1610">
        <v>1700000</v>
      </c>
      <c r="S9" s="175"/>
      <c r="T9" s="175"/>
      <c r="U9" s="175"/>
      <c r="V9" s="1001"/>
      <c r="W9" s="1001"/>
      <c r="X9" s="178"/>
      <c r="AA9" s="536"/>
      <c r="AB9" s="536"/>
    </row>
    <row r="10" spans="1:28" s="280" customFormat="1" ht="11.45" customHeight="1">
      <c r="F10" s="177" t="s">
        <v>2425</v>
      </c>
      <c r="G10" s="177"/>
      <c r="H10" s="175"/>
      <c r="I10" s="175"/>
      <c r="J10" s="177" t="s">
        <v>1776</v>
      </c>
      <c r="K10" s="177"/>
      <c r="L10" s="177"/>
      <c r="M10" s="177"/>
      <c r="N10" s="177"/>
      <c r="O10" s="177"/>
      <c r="P10" s="175"/>
      <c r="Q10" s="1610">
        <v>1000000</v>
      </c>
      <c r="R10" s="1610">
        <v>2000000</v>
      </c>
      <c r="S10" s="286"/>
      <c r="T10" s="286"/>
      <c r="U10" s="175"/>
      <c r="V10" s="1056"/>
      <c r="W10" s="1056"/>
      <c r="X10" s="1056"/>
      <c r="AA10" s="536"/>
      <c r="AB10" s="536"/>
    </row>
    <row r="11" spans="1:28" s="280" customFormat="1" ht="11.45" customHeight="1">
      <c r="F11" s="177"/>
      <c r="G11" s="177"/>
      <c r="H11" s="175"/>
      <c r="I11" s="175"/>
      <c r="J11" s="177" t="s">
        <v>2400</v>
      </c>
      <c r="K11" s="177"/>
      <c r="L11" s="177"/>
      <c r="M11" s="177"/>
      <c r="N11" s="177"/>
      <c r="O11" s="177"/>
      <c r="P11" s="175"/>
      <c r="Q11" s="1610" t="s">
        <v>1746</v>
      </c>
      <c r="R11" s="1611">
        <v>0.25</v>
      </c>
      <c r="S11" s="175"/>
      <c r="T11" s="175"/>
      <c r="U11" s="175"/>
      <c r="V11" s="1001"/>
      <c r="W11" s="1001"/>
      <c r="X11" s="178"/>
      <c r="AA11" s="536"/>
      <c r="AB11" s="536"/>
    </row>
    <row r="12" spans="1:28" s="280" customFormat="1" ht="11.45" customHeight="1">
      <c r="A12" s="177"/>
      <c r="B12" s="177"/>
      <c r="C12" s="177"/>
      <c r="D12" s="175"/>
      <c r="E12" s="175"/>
      <c r="F12" s="177" t="s">
        <v>3654</v>
      </c>
      <c r="G12" s="177"/>
      <c r="H12" s="175"/>
      <c r="I12" s="175"/>
      <c r="J12" s="596" t="s">
        <v>3655</v>
      </c>
      <c r="K12" s="290"/>
      <c r="M12" s="290"/>
      <c r="N12" s="290"/>
      <c r="O12" s="177"/>
      <c r="Q12" s="288"/>
      <c r="R12" s="288"/>
      <c r="S12" s="301"/>
      <c r="T12" s="175"/>
      <c r="U12" s="175"/>
      <c r="V12" s="1056"/>
      <c r="W12" s="1056"/>
      <c r="X12" s="1056"/>
      <c r="AA12" s="536"/>
      <c r="AB12" s="536"/>
    </row>
    <row r="13" spans="1:28" s="280" customFormat="1" ht="11.45" customHeight="1">
      <c r="A13" s="177"/>
      <c r="B13" s="177"/>
      <c r="C13" s="177"/>
      <c r="D13" s="175"/>
      <c r="E13" s="175"/>
      <c r="F13" s="177"/>
      <c r="G13" s="177"/>
      <c r="H13" s="175"/>
      <c r="I13" s="175"/>
      <c r="J13" s="596"/>
      <c r="K13" s="290"/>
      <c r="M13" s="290"/>
      <c r="N13" s="290"/>
      <c r="O13" s="177"/>
      <c r="Q13" s="288"/>
      <c r="R13" s="288"/>
      <c r="S13" s="301"/>
      <c r="T13" s="175"/>
      <c r="U13" s="175"/>
      <c r="V13" s="1056"/>
      <c r="W13" s="1056"/>
      <c r="X13" s="1056"/>
      <c r="AA13" s="536"/>
      <c r="AB13" s="536"/>
    </row>
    <row r="14" spans="1:28" s="280" customFormat="1" ht="11.45" customHeight="1">
      <c r="A14" s="177"/>
      <c r="B14" s="177"/>
      <c r="C14" s="177"/>
      <c r="D14" s="175"/>
      <c r="E14" s="175"/>
      <c r="F14" s="3737" t="s">
        <v>3380</v>
      </c>
      <c r="G14" s="3738"/>
      <c r="H14" s="3738"/>
      <c r="I14" s="3738"/>
      <c r="J14" s="3739"/>
      <c r="K14" s="290"/>
      <c r="L14" s="597" t="s">
        <v>3603</v>
      </c>
      <c r="M14" s="290"/>
      <c r="N14" s="3737" t="s">
        <v>3380</v>
      </c>
      <c r="O14" s="3738"/>
      <c r="P14" s="3738"/>
      <c r="Q14" s="3738"/>
      <c r="R14" s="3739"/>
      <c r="S14" s="301"/>
      <c r="T14" s="175"/>
      <c r="U14" s="175"/>
      <c r="V14" s="1056"/>
      <c r="W14" s="1056"/>
      <c r="X14" s="1056"/>
      <c r="AA14" s="536"/>
      <c r="AB14" s="536"/>
    </row>
    <row r="15" spans="1:28" s="280" customFormat="1" ht="11.45" customHeight="1">
      <c r="A15" s="177"/>
      <c r="D15" s="598" t="s">
        <v>2630</v>
      </c>
      <c r="E15" s="598" t="s">
        <v>1308</v>
      </c>
      <c r="F15" s="599">
        <v>0</v>
      </c>
      <c r="G15" s="600">
        <v>1</v>
      </c>
      <c r="H15" s="1600">
        <v>2</v>
      </c>
      <c r="I15" s="1600">
        <v>3</v>
      </c>
      <c r="J15" s="601" t="s">
        <v>3377</v>
      </c>
      <c r="L15" s="598" t="s">
        <v>2630</v>
      </c>
      <c r="M15" s="598" t="s">
        <v>1308</v>
      </c>
      <c r="N15" s="599">
        <v>0</v>
      </c>
      <c r="O15" s="600">
        <v>1</v>
      </c>
      <c r="P15" s="1600">
        <v>2</v>
      </c>
      <c r="Q15" s="1600">
        <v>3</v>
      </c>
      <c r="R15" s="601" t="s">
        <v>3377</v>
      </c>
      <c r="S15" s="301"/>
      <c r="T15" s="175"/>
      <c r="U15" s="175"/>
      <c r="V15" s="1056"/>
      <c r="W15" s="1056"/>
      <c r="X15" s="1056"/>
      <c r="AA15" s="536"/>
      <c r="AB15" s="536"/>
    </row>
    <row r="16" spans="1:28" s="280" customFormat="1" ht="11.45" customHeight="1">
      <c r="A16" s="177"/>
      <c r="C16" s="324"/>
      <c r="D16" s="1077" t="s">
        <v>1795</v>
      </c>
      <c r="E16" s="1077" t="s">
        <v>3379</v>
      </c>
      <c r="F16" s="1078">
        <v>129802</v>
      </c>
      <c r="G16" s="1078">
        <v>169579</v>
      </c>
      <c r="H16" s="1078">
        <v>205492</v>
      </c>
      <c r="I16" s="1078">
        <v>250678</v>
      </c>
      <c r="J16" s="1078">
        <v>294766</v>
      </c>
      <c r="L16" s="301" t="s">
        <v>1795</v>
      </c>
      <c r="M16" s="301" t="s">
        <v>3379</v>
      </c>
      <c r="N16" s="2170">
        <f t="shared" ref="N16:R31" si="0">ROUNDDOWN(F16*1.1,0)</f>
        <v>142782</v>
      </c>
      <c r="O16" s="2170">
        <f t="shared" si="0"/>
        <v>186536</v>
      </c>
      <c r="P16" s="2170">
        <f t="shared" si="0"/>
        <v>226041</v>
      </c>
      <c r="Q16" s="2170">
        <f t="shared" si="0"/>
        <v>275745</v>
      </c>
      <c r="R16" s="2170">
        <f t="shared" si="0"/>
        <v>324242</v>
      </c>
      <c r="S16" s="301"/>
      <c r="T16" s="175"/>
      <c r="U16" s="175"/>
      <c r="V16" s="1056"/>
      <c r="W16" s="1056"/>
      <c r="X16" s="1056"/>
      <c r="AA16" s="536"/>
      <c r="AB16" s="536"/>
    </row>
    <row r="17" spans="1:28" s="280" customFormat="1" ht="11.45" customHeight="1">
      <c r="A17" s="177"/>
      <c r="C17" s="324"/>
      <c r="D17" s="1077" t="s">
        <v>1795</v>
      </c>
      <c r="E17" s="1077" t="s">
        <v>3376</v>
      </c>
      <c r="F17" s="1078">
        <v>105598</v>
      </c>
      <c r="G17" s="1078">
        <v>147837</v>
      </c>
      <c r="H17" s="1078">
        <v>190077</v>
      </c>
      <c r="I17" s="1078">
        <v>253436</v>
      </c>
      <c r="J17" s="1078">
        <v>316794</v>
      </c>
      <c r="L17" s="301" t="s">
        <v>1795</v>
      </c>
      <c r="M17" s="301" t="s">
        <v>3376</v>
      </c>
      <c r="N17" s="2170">
        <f t="shared" si="0"/>
        <v>116157</v>
      </c>
      <c r="O17" s="2170">
        <f t="shared" si="0"/>
        <v>162620</v>
      </c>
      <c r="P17" s="2170">
        <f t="shared" si="0"/>
        <v>209084</v>
      </c>
      <c r="Q17" s="2170">
        <f t="shared" si="0"/>
        <v>278779</v>
      </c>
      <c r="R17" s="2170">
        <f t="shared" si="0"/>
        <v>348473</v>
      </c>
      <c r="S17" s="301"/>
      <c r="T17" s="175"/>
      <c r="U17" s="175"/>
      <c r="V17" s="1056"/>
      <c r="W17" s="1056"/>
      <c r="X17" s="1056"/>
      <c r="AA17" s="536"/>
      <c r="AB17" s="536"/>
    </row>
    <row r="18" spans="1:28" s="280" customFormat="1" ht="11.45" customHeight="1">
      <c r="A18" s="177"/>
      <c r="C18" s="324"/>
      <c r="D18" s="1077" t="s">
        <v>1795</v>
      </c>
      <c r="E18" s="1077" t="s">
        <v>3374</v>
      </c>
      <c r="F18" s="1078">
        <v>119585</v>
      </c>
      <c r="G18" s="1078">
        <v>156306</v>
      </c>
      <c r="H18" s="1078">
        <v>189734</v>
      </c>
      <c r="I18" s="1078">
        <v>232306</v>
      </c>
      <c r="J18" s="1078">
        <v>275312</v>
      </c>
      <c r="L18" s="301" t="s">
        <v>1795</v>
      </c>
      <c r="M18" s="301" t="s">
        <v>3374</v>
      </c>
      <c r="N18" s="2170">
        <f t="shared" si="0"/>
        <v>131543</v>
      </c>
      <c r="O18" s="2170">
        <f t="shared" si="0"/>
        <v>171936</v>
      </c>
      <c r="P18" s="2170">
        <f t="shared" si="0"/>
        <v>208707</v>
      </c>
      <c r="Q18" s="2170">
        <f t="shared" si="0"/>
        <v>255536</v>
      </c>
      <c r="R18" s="2170">
        <f t="shared" si="0"/>
        <v>302843</v>
      </c>
      <c r="S18" s="301"/>
      <c r="T18" s="175"/>
      <c r="U18" s="175"/>
      <c r="V18" s="1056"/>
      <c r="W18" s="1056"/>
      <c r="X18" s="1056"/>
      <c r="AA18" s="536"/>
      <c r="AB18" s="536"/>
    </row>
    <row r="19" spans="1:28" s="280" customFormat="1" ht="11.45" customHeight="1">
      <c r="A19" s="177"/>
      <c r="C19" s="324"/>
      <c r="D19" s="1077" t="s">
        <v>1795</v>
      </c>
      <c r="E19" s="1077" t="s">
        <v>3375</v>
      </c>
      <c r="F19" s="1078">
        <v>104164</v>
      </c>
      <c r="G19" s="1078">
        <v>144030</v>
      </c>
      <c r="H19" s="1078">
        <v>182870</v>
      </c>
      <c r="I19" s="1078">
        <v>239197</v>
      </c>
      <c r="J19" s="1078">
        <v>298135</v>
      </c>
      <c r="L19" s="301" t="s">
        <v>1795</v>
      </c>
      <c r="M19" s="301" t="s">
        <v>3375</v>
      </c>
      <c r="N19" s="2170">
        <f t="shared" si="0"/>
        <v>114580</v>
      </c>
      <c r="O19" s="2170">
        <f t="shared" si="0"/>
        <v>158433</v>
      </c>
      <c r="P19" s="2170">
        <f t="shared" si="0"/>
        <v>201157</v>
      </c>
      <c r="Q19" s="2170">
        <f t="shared" si="0"/>
        <v>263116</v>
      </c>
      <c r="R19" s="2170">
        <f t="shared" si="0"/>
        <v>327948</v>
      </c>
      <c r="S19" s="301"/>
      <c r="T19" s="175"/>
      <c r="U19" s="175"/>
      <c r="V19" s="1056"/>
      <c r="W19" s="1056"/>
      <c r="X19" s="1056"/>
      <c r="AA19" s="536"/>
      <c r="AB19" s="536"/>
    </row>
    <row r="20" spans="1:28" s="280" customFormat="1" ht="11.45" customHeight="1">
      <c r="A20" s="177"/>
      <c r="C20" s="324"/>
      <c r="D20" s="1068" t="s">
        <v>167</v>
      </c>
      <c r="E20" s="1068" t="s">
        <v>3379</v>
      </c>
      <c r="F20" s="1069">
        <v>128651</v>
      </c>
      <c r="G20" s="1069">
        <v>168262</v>
      </c>
      <c r="H20" s="1069">
        <v>204067</v>
      </c>
      <c r="I20" s="1069">
        <v>249250</v>
      </c>
      <c r="J20" s="1069">
        <v>293196</v>
      </c>
      <c r="L20" s="301" t="s">
        <v>167</v>
      </c>
      <c r="M20" s="301" t="s">
        <v>3379</v>
      </c>
      <c r="N20" s="2170">
        <f t="shared" si="0"/>
        <v>141516</v>
      </c>
      <c r="O20" s="2170">
        <f t="shared" si="0"/>
        <v>185088</v>
      </c>
      <c r="P20" s="2170">
        <f t="shared" si="0"/>
        <v>224473</v>
      </c>
      <c r="Q20" s="2170">
        <f t="shared" si="0"/>
        <v>274175</v>
      </c>
      <c r="R20" s="2170">
        <f t="shared" si="0"/>
        <v>322515</v>
      </c>
      <c r="S20" s="301"/>
      <c r="T20" s="175"/>
      <c r="U20" s="175"/>
      <c r="V20" s="1056"/>
      <c r="W20" s="1056"/>
      <c r="X20" s="1056"/>
      <c r="AA20" s="536"/>
      <c r="AB20" s="536"/>
    </row>
    <row r="21" spans="1:28" s="280" customFormat="1" ht="11.45" customHeight="1">
      <c r="A21" s="177"/>
      <c r="C21" s="324"/>
      <c r="D21" s="1068" t="s">
        <v>167</v>
      </c>
      <c r="E21" s="1068" t="s">
        <v>3376</v>
      </c>
      <c r="F21" s="1069">
        <v>104877</v>
      </c>
      <c r="G21" s="1069">
        <v>146828</v>
      </c>
      <c r="H21" s="1069">
        <v>188779</v>
      </c>
      <c r="I21" s="1069">
        <v>251705</v>
      </c>
      <c r="J21" s="1069">
        <v>314631</v>
      </c>
      <c r="L21" s="301" t="s">
        <v>167</v>
      </c>
      <c r="M21" s="301" t="s">
        <v>3376</v>
      </c>
      <c r="N21" s="2170">
        <f t="shared" si="0"/>
        <v>115364</v>
      </c>
      <c r="O21" s="2170">
        <f t="shared" si="0"/>
        <v>161510</v>
      </c>
      <c r="P21" s="2170">
        <f t="shared" si="0"/>
        <v>207656</v>
      </c>
      <c r="Q21" s="2170">
        <f t="shared" si="0"/>
        <v>276875</v>
      </c>
      <c r="R21" s="2170">
        <f t="shared" si="0"/>
        <v>346094</v>
      </c>
      <c r="S21" s="301"/>
      <c r="T21" s="175"/>
      <c r="U21" s="175"/>
      <c r="V21" s="1056"/>
      <c r="W21" s="1056"/>
      <c r="X21" s="1056"/>
      <c r="AA21" s="536"/>
      <c r="AB21" s="536"/>
    </row>
    <row r="22" spans="1:28" s="280" customFormat="1" ht="11.45" customHeight="1">
      <c r="A22" s="177"/>
      <c r="C22" s="324"/>
      <c r="D22" s="1068" t="s">
        <v>167</v>
      </c>
      <c r="E22" s="1068" t="s">
        <v>3374</v>
      </c>
      <c r="F22" s="1069">
        <v>118188</v>
      </c>
      <c r="G22" s="1069">
        <v>154670</v>
      </c>
      <c r="H22" s="1069">
        <v>187930</v>
      </c>
      <c r="I22" s="1069">
        <v>230437</v>
      </c>
      <c r="J22" s="1069">
        <v>273273</v>
      </c>
      <c r="L22" s="301" t="s">
        <v>167</v>
      </c>
      <c r="M22" s="301" t="s">
        <v>3374</v>
      </c>
      <c r="N22" s="2170">
        <f t="shared" si="0"/>
        <v>130006</v>
      </c>
      <c r="O22" s="2170">
        <f t="shared" si="0"/>
        <v>170137</v>
      </c>
      <c r="P22" s="2170">
        <f t="shared" si="0"/>
        <v>206723</v>
      </c>
      <c r="Q22" s="2170">
        <f t="shared" si="0"/>
        <v>253480</v>
      </c>
      <c r="R22" s="2170">
        <f t="shared" si="0"/>
        <v>300600</v>
      </c>
      <c r="S22" s="301"/>
      <c r="T22" s="175"/>
      <c r="U22" s="175"/>
      <c r="V22" s="1056"/>
      <c r="W22" s="1056"/>
      <c r="X22" s="1056"/>
      <c r="AA22" s="536"/>
      <c r="AB22" s="536"/>
    </row>
    <row r="23" spans="1:28" s="280" customFormat="1" ht="11.45" customHeight="1">
      <c r="A23" s="177"/>
      <c r="C23" s="324"/>
      <c r="D23" s="1068" t="s">
        <v>167</v>
      </c>
      <c r="E23" s="1068" t="s">
        <v>3375</v>
      </c>
      <c r="F23" s="1069">
        <v>102579</v>
      </c>
      <c r="G23" s="1069">
        <v>141768</v>
      </c>
      <c r="H23" s="1069">
        <v>179905</v>
      </c>
      <c r="I23" s="1069">
        <v>235133</v>
      </c>
      <c r="J23" s="1069">
        <v>293035</v>
      </c>
      <c r="L23" s="301" t="s">
        <v>167</v>
      </c>
      <c r="M23" s="301" t="s">
        <v>3375</v>
      </c>
      <c r="N23" s="2170">
        <f t="shared" si="0"/>
        <v>112836</v>
      </c>
      <c r="O23" s="2170">
        <f t="shared" si="0"/>
        <v>155944</v>
      </c>
      <c r="P23" s="2170">
        <f t="shared" si="0"/>
        <v>197895</v>
      </c>
      <c r="Q23" s="2170">
        <f t="shared" si="0"/>
        <v>258646</v>
      </c>
      <c r="R23" s="2170">
        <f t="shared" si="0"/>
        <v>322338</v>
      </c>
      <c r="S23" s="301"/>
      <c r="T23" s="175"/>
      <c r="U23" s="175"/>
      <c r="V23" s="1056"/>
      <c r="W23" s="1056"/>
      <c r="X23" s="1056"/>
      <c r="AA23" s="536"/>
      <c r="AB23" s="536"/>
    </row>
    <row r="24" spans="1:28" s="280" customFormat="1" ht="11.45" customHeight="1">
      <c r="A24" s="177"/>
      <c r="C24" s="324"/>
      <c r="D24" s="1066" t="s">
        <v>1217</v>
      </c>
      <c r="E24" s="1066" t="s">
        <v>3379</v>
      </c>
      <c r="F24" s="1067">
        <v>140378</v>
      </c>
      <c r="G24" s="1067">
        <v>183548</v>
      </c>
      <c r="H24" s="1067">
        <v>222560</v>
      </c>
      <c r="I24" s="1067">
        <v>271753</v>
      </c>
      <c r="J24" s="1067">
        <v>319636</v>
      </c>
      <c r="L24" s="596" t="s">
        <v>1217</v>
      </c>
      <c r="M24" s="596" t="s">
        <v>3379</v>
      </c>
      <c r="N24" s="2170">
        <f t="shared" si="0"/>
        <v>154415</v>
      </c>
      <c r="O24" s="2170">
        <f t="shared" si="0"/>
        <v>201902</v>
      </c>
      <c r="P24" s="2170">
        <f t="shared" si="0"/>
        <v>244816</v>
      </c>
      <c r="Q24" s="2170">
        <f t="shared" si="0"/>
        <v>298928</v>
      </c>
      <c r="R24" s="2170">
        <f t="shared" si="0"/>
        <v>351599</v>
      </c>
      <c r="S24" s="301"/>
      <c r="T24" s="175"/>
      <c r="U24" s="175"/>
      <c r="V24" s="1056"/>
      <c r="W24" s="1056"/>
      <c r="X24" s="1056"/>
      <c r="AA24" s="536"/>
      <c r="AB24" s="536"/>
    </row>
    <row r="25" spans="1:28" s="280" customFormat="1" ht="11.45" customHeight="1">
      <c r="A25" s="177"/>
      <c r="C25" s="324"/>
      <c r="D25" s="1066" t="s">
        <v>1217</v>
      </c>
      <c r="E25" s="1066" t="s">
        <v>3376</v>
      </c>
      <c r="F25" s="1067">
        <v>114378</v>
      </c>
      <c r="G25" s="1067">
        <v>160129</v>
      </c>
      <c r="H25" s="1067">
        <v>205881</v>
      </c>
      <c r="I25" s="1067">
        <v>274508</v>
      </c>
      <c r="J25" s="1067">
        <v>343134</v>
      </c>
      <c r="L25" s="596" t="s">
        <v>1217</v>
      </c>
      <c r="M25" s="596" t="s">
        <v>3376</v>
      </c>
      <c r="N25" s="2170">
        <f t="shared" si="0"/>
        <v>125815</v>
      </c>
      <c r="O25" s="2170">
        <f t="shared" si="0"/>
        <v>176141</v>
      </c>
      <c r="P25" s="2170">
        <f t="shared" si="0"/>
        <v>226469</v>
      </c>
      <c r="Q25" s="2170">
        <f t="shared" si="0"/>
        <v>301958</v>
      </c>
      <c r="R25" s="2170">
        <f t="shared" si="0"/>
        <v>377447</v>
      </c>
      <c r="S25" s="301"/>
      <c r="T25" s="175"/>
      <c r="U25" s="175"/>
      <c r="V25" s="1056"/>
      <c r="W25" s="1056"/>
      <c r="X25" s="1056"/>
      <c r="AA25" s="536"/>
      <c r="AB25" s="536"/>
    </row>
    <row r="26" spans="1:28" s="280" customFormat="1" ht="11.45" customHeight="1">
      <c r="A26" s="177"/>
      <c r="C26" s="324"/>
      <c r="D26" s="1066" t="s">
        <v>1217</v>
      </c>
      <c r="E26" s="1066" t="s">
        <v>3374</v>
      </c>
      <c r="F26" s="1067">
        <v>129053</v>
      </c>
      <c r="G26" s="1067">
        <v>168837</v>
      </c>
      <c r="H26" s="1067">
        <v>205093</v>
      </c>
      <c r="I26" s="1067">
        <v>251390</v>
      </c>
      <c r="J26" s="1067">
        <v>298072</v>
      </c>
      <c r="L26" s="596" t="s">
        <v>1217</v>
      </c>
      <c r="M26" s="596" t="s">
        <v>3374</v>
      </c>
      <c r="N26" s="2170">
        <f t="shared" si="0"/>
        <v>141958</v>
      </c>
      <c r="O26" s="2170">
        <f t="shared" si="0"/>
        <v>185720</v>
      </c>
      <c r="P26" s="2170">
        <f t="shared" si="0"/>
        <v>225602</v>
      </c>
      <c r="Q26" s="2170">
        <f t="shared" si="0"/>
        <v>276529</v>
      </c>
      <c r="R26" s="2170">
        <f t="shared" si="0"/>
        <v>327879</v>
      </c>
      <c r="S26" s="301"/>
      <c r="T26" s="175"/>
      <c r="U26" s="175"/>
      <c r="V26" s="1056"/>
      <c r="W26" s="1056"/>
      <c r="X26" s="1056"/>
      <c r="AA26" s="536"/>
      <c r="AB26" s="536"/>
    </row>
    <row r="27" spans="1:28" s="280" customFormat="1" ht="11.45" customHeight="1">
      <c r="A27" s="177"/>
      <c r="C27" s="324"/>
      <c r="D27" s="1066" t="s">
        <v>1217</v>
      </c>
      <c r="E27" s="1066" t="s">
        <v>3375</v>
      </c>
      <c r="F27" s="1067">
        <v>112110</v>
      </c>
      <c r="G27" s="1067">
        <v>154960</v>
      </c>
      <c r="H27" s="1067">
        <v>196671</v>
      </c>
      <c r="I27" s="1067">
        <v>257098</v>
      </c>
      <c r="J27" s="1067">
        <v>320417</v>
      </c>
      <c r="L27" s="596" t="s">
        <v>1217</v>
      </c>
      <c r="M27" s="596" t="s">
        <v>3375</v>
      </c>
      <c r="N27" s="2170">
        <f t="shared" si="0"/>
        <v>123321</v>
      </c>
      <c r="O27" s="2170">
        <f t="shared" si="0"/>
        <v>170456</v>
      </c>
      <c r="P27" s="2170">
        <f t="shared" si="0"/>
        <v>216338</v>
      </c>
      <c r="Q27" s="2170">
        <f t="shared" si="0"/>
        <v>282807</v>
      </c>
      <c r="R27" s="2170">
        <f t="shared" si="0"/>
        <v>352458</v>
      </c>
      <c r="S27" s="301"/>
      <c r="T27" s="175"/>
      <c r="U27" s="175"/>
      <c r="V27" s="1056"/>
      <c r="W27" s="1056"/>
      <c r="X27" s="1056"/>
      <c r="AA27" s="536"/>
      <c r="AB27" s="536"/>
    </row>
    <row r="28" spans="1:28" s="280" customFormat="1" ht="11.45" customHeight="1">
      <c r="A28" s="177"/>
      <c r="C28" s="324"/>
      <c r="D28" s="1070" t="s">
        <v>1342</v>
      </c>
      <c r="E28" s="1070" t="s">
        <v>3379</v>
      </c>
      <c r="F28" s="1071">
        <v>132505</v>
      </c>
      <c r="G28" s="1071">
        <v>172926</v>
      </c>
      <c r="H28" s="1071">
        <v>209377</v>
      </c>
      <c r="I28" s="1071">
        <v>255107</v>
      </c>
      <c r="J28" s="1071">
        <v>299867</v>
      </c>
      <c r="L28" s="596" t="s">
        <v>1342</v>
      </c>
      <c r="M28" s="596" t="s">
        <v>3379</v>
      </c>
      <c r="N28" s="2170">
        <f t="shared" si="0"/>
        <v>145755</v>
      </c>
      <c r="O28" s="2170">
        <f t="shared" si="0"/>
        <v>190218</v>
      </c>
      <c r="P28" s="2170">
        <f t="shared" si="0"/>
        <v>230314</v>
      </c>
      <c r="Q28" s="2170">
        <f t="shared" si="0"/>
        <v>280617</v>
      </c>
      <c r="R28" s="2170">
        <f t="shared" si="0"/>
        <v>329853</v>
      </c>
      <c r="S28" s="301"/>
      <c r="T28" s="175"/>
      <c r="U28" s="175"/>
      <c r="V28" s="1056"/>
      <c r="W28" s="1056"/>
      <c r="X28" s="1056"/>
      <c r="AA28" s="536"/>
      <c r="AB28" s="536"/>
    </row>
    <row r="29" spans="1:28" s="280" customFormat="1" ht="11.45" customHeight="1">
      <c r="A29" s="177"/>
      <c r="C29" s="324"/>
      <c r="D29" s="1070" t="s">
        <v>1342</v>
      </c>
      <c r="E29" s="1070" t="s">
        <v>3376</v>
      </c>
      <c r="F29" s="1071">
        <v>107584</v>
      </c>
      <c r="G29" s="1071">
        <v>150617</v>
      </c>
      <c r="H29" s="1071">
        <v>193650</v>
      </c>
      <c r="I29" s="1071">
        <v>258201</v>
      </c>
      <c r="J29" s="1071">
        <v>322751</v>
      </c>
      <c r="L29" s="596" t="s">
        <v>1342</v>
      </c>
      <c r="M29" s="596" t="s">
        <v>3376</v>
      </c>
      <c r="N29" s="2170">
        <f t="shared" si="0"/>
        <v>118342</v>
      </c>
      <c r="O29" s="2170">
        <f t="shared" si="0"/>
        <v>165678</v>
      </c>
      <c r="P29" s="2170">
        <f t="shared" si="0"/>
        <v>213015</v>
      </c>
      <c r="Q29" s="2170">
        <f t="shared" si="0"/>
        <v>284021</v>
      </c>
      <c r="R29" s="2170">
        <f t="shared" si="0"/>
        <v>355026</v>
      </c>
      <c r="S29" s="301"/>
      <c r="T29" s="175"/>
      <c r="U29" s="175"/>
      <c r="V29" s="1056"/>
      <c r="W29" s="1056"/>
      <c r="X29" s="1056"/>
      <c r="AA29" s="536"/>
      <c r="AB29" s="536"/>
    </row>
    <row r="30" spans="1:28" s="280" customFormat="1" ht="11.45" customHeight="1">
      <c r="A30" s="177"/>
      <c r="C30" s="324"/>
      <c r="D30" s="1070" t="s">
        <v>1342</v>
      </c>
      <c r="E30" s="1070" t="s">
        <v>3374</v>
      </c>
      <c r="F30" s="1071">
        <v>122412</v>
      </c>
      <c r="G30" s="1071">
        <v>159813</v>
      </c>
      <c r="H30" s="1071">
        <v>193809</v>
      </c>
      <c r="I30" s="1071">
        <v>236957</v>
      </c>
      <c r="J30" s="1071">
        <v>280648</v>
      </c>
      <c r="L30" s="596" t="s">
        <v>1342</v>
      </c>
      <c r="M30" s="596" t="s">
        <v>3374</v>
      </c>
      <c r="N30" s="2170">
        <f t="shared" si="0"/>
        <v>134653</v>
      </c>
      <c r="O30" s="2170">
        <f t="shared" si="0"/>
        <v>175794</v>
      </c>
      <c r="P30" s="2170">
        <f t="shared" si="0"/>
        <v>213189</v>
      </c>
      <c r="Q30" s="2170">
        <f t="shared" si="0"/>
        <v>260652</v>
      </c>
      <c r="R30" s="2170">
        <f t="shared" si="0"/>
        <v>308712</v>
      </c>
      <c r="S30" s="301"/>
      <c r="T30" s="175"/>
      <c r="U30" s="175"/>
      <c r="V30" s="1056"/>
      <c r="W30" s="1056"/>
      <c r="X30" s="1056"/>
      <c r="AA30" s="536"/>
      <c r="AB30" s="536"/>
    </row>
    <row r="31" spans="1:28" s="280" customFormat="1" ht="11.45" customHeight="1">
      <c r="A31" s="177"/>
      <c r="C31" s="324"/>
      <c r="D31" s="1070" t="s">
        <v>1342</v>
      </c>
      <c r="E31" s="1070" t="s">
        <v>3375</v>
      </c>
      <c r="F31" s="1071">
        <v>106994</v>
      </c>
      <c r="G31" s="1071">
        <v>148014</v>
      </c>
      <c r="H31" s="1071">
        <v>188019</v>
      </c>
      <c r="I31" s="1071">
        <v>246119</v>
      </c>
      <c r="J31" s="1071">
        <v>306798</v>
      </c>
      <c r="L31" s="596" t="s">
        <v>1342</v>
      </c>
      <c r="M31" s="596" t="s">
        <v>3375</v>
      </c>
      <c r="N31" s="2170">
        <f t="shared" si="0"/>
        <v>117693</v>
      </c>
      <c r="O31" s="2170">
        <f t="shared" si="0"/>
        <v>162815</v>
      </c>
      <c r="P31" s="2170">
        <f t="shared" si="0"/>
        <v>206820</v>
      </c>
      <c r="Q31" s="2170">
        <f t="shared" si="0"/>
        <v>270730</v>
      </c>
      <c r="R31" s="2170">
        <f t="shared" si="0"/>
        <v>337477</v>
      </c>
      <c r="S31" s="301"/>
      <c r="T31" s="175"/>
      <c r="U31" s="175"/>
      <c r="V31" s="1056"/>
      <c r="W31" s="1056"/>
      <c r="X31" s="1056"/>
      <c r="AA31" s="536"/>
      <c r="AB31" s="536"/>
    </row>
    <row r="32" spans="1:28" s="280" customFormat="1" ht="11.45" customHeight="1">
      <c r="A32" s="177"/>
      <c r="C32" s="324"/>
      <c r="D32" s="1099" t="s">
        <v>1533</v>
      </c>
      <c r="E32" s="1099" t="s">
        <v>3379</v>
      </c>
      <c r="F32" s="906">
        <v>135971</v>
      </c>
      <c r="G32" s="906">
        <v>178050</v>
      </c>
      <c r="H32" s="906">
        <v>216136</v>
      </c>
      <c r="I32" s="906">
        <v>264350</v>
      </c>
      <c r="J32" s="906">
        <v>311082</v>
      </c>
      <c r="L32" s="1099" t="s">
        <v>1533</v>
      </c>
      <c r="M32" s="596" t="s">
        <v>3379</v>
      </c>
      <c r="N32" s="2170">
        <f t="shared" ref="N32:N35" si="1">ROUNDDOWN(F32*1.1,0)</f>
        <v>149568</v>
      </c>
      <c r="O32" s="2170">
        <f t="shared" ref="O32:O35" si="2">ROUNDDOWN(G32*1.1,0)</f>
        <v>195855</v>
      </c>
      <c r="P32" s="2170">
        <f t="shared" ref="P32:P35" si="3">ROUNDDOWN(H32*1.1,0)</f>
        <v>237749</v>
      </c>
      <c r="Q32" s="2170">
        <f t="shared" ref="Q32:Q35" si="4">ROUNDDOWN(I32*1.1,0)</f>
        <v>290785</v>
      </c>
      <c r="R32" s="2170">
        <f t="shared" ref="R32:R35" si="5">ROUNDDOWN(J32*1.1,0)</f>
        <v>342190</v>
      </c>
      <c r="S32" s="301"/>
      <c r="T32" s="175"/>
      <c r="U32" s="175"/>
      <c r="V32" s="1056"/>
      <c r="W32" s="1056"/>
      <c r="X32" s="1056"/>
      <c r="AA32" s="536"/>
      <c r="AB32" s="536"/>
    </row>
    <row r="33" spans="1:28" s="280" customFormat="1" ht="11.45" customHeight="1">
      <c r="A33" s="177"/>
      <c r="C33" s="324"/>
      <c r="D33" s="1099" t="s">
        <v>1533</v>
      </c>
      <c r="E33" s="1099" t="s">
        <v>3376</v>
      </c>
      <c r="F33" s="906">
        <v>111093</v>
      </c>
      <c r="G33" s="906">
        <v>155530</v>
      </c>
      <c r="H33" s="906">
        <v>199967</v>
      </c>
      <c r="I33" s="906">
        <v>266623</v>
      </c>
      <c r="J33" s="906">
        <v>333278</v>
      </c>
      <c r="L33" s="1099" t="s">
        <v>1533</v>
      </c>
      <c r="M33" s="596" t="s">
        <v>3376</v>
      </c>
      <c r="N33" s="2170">
        <f t="shared" si="1"/>
        <v>122202</v>
      </c>
      <c r="O33" s="2170">
        <f t="shared" si="2"/>
        <v>171083</v>
      </c>
      <c r="P33" s="2170">
        <f t="shared" si="3"/>
        <v>219963</v>
      </c>
      <c r="Q33" s="2170">
        <f t="shared" si="4"/>
        <v>293285</v>
      </c>
      <c r="R33" s="2170">
        <f t="shared" si="5"/>
        <v>366605</v>
      </c>
      <c r="S33" s="301"/>
      <c r="T33" s="175"/>
      <c r="U33" s="175"/>
      <c r="V33" s="1056"/>
      <c r="W33" s="1056"/>
      <c r="X33" s="1056"/>
      <c r="AA33" s="536"/>
      <c r="AB33" s="536"/>
    </row>
    <row r="34" spans="1:28" s="280" customFormat="1" ht="11.45" customHeight="1">
      <c r="A34" s="177"/>
      <c r="C34" s="324"/>
      <c r="D34" s="1099" t="s">
        <v>1533</v>
      </c>
      <c r="E34" s="1099" t="s">
        <v>3374</v>
      </c>
      <c r="F34" s="906">
        <v>124524</v>
      </c>
      <c r="G34" s="906">
        <v>163179</v>
      </c>
      <c r="H34" s="906">
        <v>198480</v>
      </c>
      <c r="I34" s="906">
        <v>243766</v>
      </c>
      <c r="J34" s="906">
        <v>289284</v>
      </c>
      <c r="L34" s="1099" t="s">
        <v>1533</v>
      </c>
      <c r="M34" s="596" t="s">
        <v>3374</v>
      </c>
      <c r="N34" s="2170">
        <f t="shared" si="1"/>
        <v>136976</v>
      </c>
      <c r="O34" s="2170">
        <f t="shared" si="2"/>
        <v>179496</v>
      </c>
      <c r="P34" s="2170">
        <f t="shared" si="3"/>
        <v>218328</v>
      </c>
      <c r="Q34" s="2170">
        <f t="shared" si="4"/>
        <v>268142</v>
      </c>
      <c r="R34" s="2170">
        <f t="shared" si="5"/>
        <v>318212</v>
      </c>
      <c r="S34" s="301"/>
      <c r="T34" s="175"/>
      <c r="U34" s="175"/>
      <c r="V34" s="1056"/>
      <c r="W34" s="1056"/>
      <c r="X34" s="1056"/>
      <c r="AA34" s="536"/>
      <c r="AB34" s="536"/>
    </row>
    <row r="35" spans="1:28" s="280" customFormat="1" ht="11.45" customHeight="1">
      <c r="A35" s="177"/>
      <c r="C35" s="324"/>
      <c r="D35" s="1099" t="s">
        <v>1533</v>
      </c>
      <c r="E35" s="1099" t="s">
        <v>3375</v>
      </c>
      <c r="F35" s="906">
        <v>107650</v>
      </c>
      <c r="G35" s="906">
        <v>148694</v>
      </c>
      <c r="H35" s="906">
        <v>188587</v>
      </c>
      <c r="I35" s="906">
        <v>246263</v>
      </c>
      <c r="J35" s="906">
        <v>306864</v>
      </c>
      <c r="L35" s="1099" t="s">
        <v>1533</v>
      </c>
      <c r="M35" s="596" t="s">
        <v>3375</v>
      </c>
      <c r="N35" s="2170">
        <f t="shared" si="1"/>
        <v>118415</v>
      </c>
      <c r="O35" s="2170">
        <f t="shared" si="2"/>
        <v>163563</v>
      </c>
      <c r="P35" s="2170">
        <f t="shared" si="3"/>
        <v>207445</v>
      </c>
      <c r="Q35" s="2170">
        <f t="shared" si="4"/>
        <v>270889</v>
      </c>
      <c r="R35" s="2170">
        <f t="shared" si="5"/>
        <v>337550</v>
      </c>
      <c r="S35" s="301"/>
      <c r="T35" s="175"/>
      <c r="U35" s="175"/>
      <c r="V35" s="1056"/>
      <c r="W35" s="1056"/>
      <c r="X35" s="1056"/>
      <c r="AA35" s="536"/>
      <c r="AB35" s="536"/>
    </row>
    <row r="36" spans="1:28" s="280" customFormat="1" ht="11.45" customHeight="1">
      <c r="A36" s="177"/>
      <c r="C36" s="324"/>
      <c r="D36" s="1072" t="s">
        <v>162</v>
      </c>
      <c r="E36" s="1072" t="s">
        <v>3379</v>
      </c>
      <c r="F36" s="1073">
        <v>130802</v>
      </c>
      <c r="G36" s="1073">
        <v>170775</v>
      </c>
      <c r="H36" s="1073">
        <v>206839</v>
      </c>
      <c r="I36" s="1073">
        <v>252134</v>
      </c>
      <c r="J36" s="1073">
        <v>296415</v>
      </c>
      <c r="L36" s="301" t="s">
        <v>162</v>
      </c>
      <c r="M36" s="301" t="s">
        <v>3379</v>
      </c>
      <c r="N36" s="2170">
        <f t="shared" ref="N36:R51" si="6">ROUNDDOWN(F36*1.1,0)</f>
        <v>143882</v>
      </c>
      <c r="O36" s="2170">
        <f t="shared" si="6"/>
        <v>187852</v>
      </c>
      <c r="P36" s="2170">
        <f t="shared" si="6"/>
        <v>227522</v>
      </c>
      <c r="Q36" s="2170">
        <f t="shared" si="6"/>
        <v>277347</v>
      </c>
      <c r="R36" s="2170">
        <f t="shared" si="6"/>
        <v>326056</v>
      </c>
      <c r="S36" s="301"/>
      <c r="T36" s="175"/>
      <c r="U36" s="175"/>
      <c r="V36" s="1056"/>
      <c r="W36" s="1056"/>
      <c r="X36" s="1056"/>
      <c r="AA36" s="536"/>
      <c r="AB36" s="536"/>
    </row>
    <row r="37" spans="1:28" s="280" customFormat="1" ht="11.45" customHeight="1">
      <c r="A37" s="177"/>
      <c r="C37" s="324"/>
      <c r="D37" s="1072" t="s">
        <v>162</v>
      </c>
      <c r="E37" s="1072" t="s">
        <v>3376</v>
      </c>
      <c r="F37" s="1073">
        <v>106284</v>
      </c>
      <c r="G37" s="1073">
        <v>148797</v>
      </c>
      <c r="H37" s="1073">
        <v>191311</v>
      </c>
      <c r="I37" s="1073">
        <v>255081</v>
      </c>
      <c r="J37" s="1073">
        <v>318851</v>
      </c>
      <c r="L37" s="301" t="s">
        <v>162</v>
      </c>
      <c r="M37" s="301" t="s">
        <v>3376</v>
      </c>
      <c r="N37" s="2170">
        <f t="shared" si="6"/>
        <v>116912</v>
      </c>
      <c r="O37" s="2170">
        <f t="shared" si="6"/>
        <v>163676</v>
      </c>
      <c r="P37" s="2170">
        <f t="shared" si="6"/>
        <v>210442</v>
      </c>
      <c r="Q37" s="2170">
        <f t="shared" si="6"/>
        <v>280589</v>
      </c>
      <c r="R37" s="2170">
        <f t="shared" si="6"/>
        <v>350736</v>
      </c>
      <c r="S37" s="301"/>
      <c r="T37" s="175"/>
      <c r="U37" s="175"/>
      <c r="V37" s="1056"/>
      <c r="W37" s="1056"/>
      <c r="X37" s="1056"/>
      <c r="AA37" s="536"/>
      <c r="AB37" s="536"/>
    </row>
    <row r="38" spans="1:28" s="280" customFormat="1" ht="11.45" customHeight="1">
      <c r="A38" s="177"/>
      <c r="C38" s="324"/>
      <c r="D38" s="1072" t="s">
        <v>162</v>
      </c>
      <c r="E38" s="1072" t="s">
        <v>3374</v>
      </c>
      <c r="F38" s="1073">
        <v>120709</v>
      </c>
      <c r="G38" s="1073">
        <v>157663</v>
      </c>
      <c r="H38" s="1073">
        <v>191271</v>
      </c>
      <c r="I38" s="1073">
        <v>233985</v>
      </c>
      <c r="J38" s="1073">
        <v>277195</v>
      </c>
      <c r="L38" s="301" t="s">
        <v>162</v>
      </c>
      <c r="M38" s="301" t="s">
        <v>3374</v>
      </c>
      <c r="N38" s="2170">
        <f t="shared" si="6"/>
        <v>132779</v>
      </c>
      <c r="O38" s="2170">
        <f t="shared" si="6"/>
        <v>173429</v>
      </c>
      <c r="P38" s="2170">
        <f t="shared" si="6"/>
        <v>210398</v>
      </c>
      <c r="Q38" s="2170">
        <f t="shared" si="6"/>
        <v>257383</v>
      </c>
      <c r="R38" s="2170">
        <f t="shared" si="6"/>
        <v>304914</v>
      </c>
      <c r="S38" s="301"/>
      <c r="T38" s="175"/>
      <c r="U38" s="175"/>
      <c r="V38" s="1056"/>
      <c r="W38" s="1056"/>
      <c r="X38" s="1056"/>
      <c r="AA38" s="536"/>
      <c r="AB38" s="536"/>
    </row>
    <row r="39" spans="1:28" s="280" customFormat="1" ht="11.45" customHeight="1">
      <c r="A39" s="177"/>
      <c r="C39" s="324"/>
      <c r="D39" s="1072" t="s">
        <v>162</v>
      </c>
      <c r="E39" s="1072" t="s">
        <v>3375</v>
      </c>
      <c r="F39" s="1073">
        <v>105363</v>
      </c>
      <c r="G39" s="1073">
        <v>145732</v>
      </c>
      <c r="H39" s="1073">
        <v>185085</v>
      </c>
      <c r="I39" s="1073">
        <v>242207</v>
      </c>
      <c r="J39" s="1073">
        <v>301908</v>
      </c>
      <c r="L39" s="301" t="s">
        <v>162</v>
      </c>
      <c r="M39" s="301" t="s">
        <v>3375</v>
      </c>
      <c r="N39" s="2170">
        <f t="shared" si="6"/>
        <v>115899</v>
      </c>
      <c r="O39" s="2170">
        <f t="shared" si="6"/>
        <v>160305</v>
      </c>
      <c r="P39" s="2170">
        <f t="shared" si="6"/>
        <v>203593</v>
      </c>
      <c r="Q39" s="2170">
        <f t="shared" si="6"/>
        <v>266427</v>
      </c>
      <c r="R39" s="2170">
        <f t="shared" si="6"/>
        <v>332098</v>
      </c>
      <c r="S39" s="301"/>
      <c r="T39" s="175"/>
      <c r="U39" s="175"/>
      <c r="V39" s="1056"/>
      <c r="W39" s="1056"/>
      <c r="X39" s="1056"/>
      <c r="AA39" s="536"/>
      <c r="AB39" s="536"/>
    </row>
    <row r="40" spans="1:28" s="280" customFormat="1" ht="11.45" customHeight="1">
      <c r="A40" s="177"/>
      <c r="C40" s="324"/>
      <c r="D40" s="1074" t="s">
        <v>1332</v>
      </c>
      <c r="E40" s="1074" t="s">
        <v>3379</v>
      </c>
      <c r="F40" s="1075">
        <v>127800</v>
      </c>
      <c r="G40" s="1075">
        <v>167186</v>
      </c>
      <c r="H40" s="1075">
        <v>202798</v>
      </c>
      <c r="I40" s="1075">
        <v>247764</v>
      </c>
      <c r="J40" s="1075">
        <v>291469</v>
      </c>
      <c r="L40" s="596" t="s">
        <v>1332</v>
      </c>
      <c r="M40" s="596" t="s">
        <v>3379</v>
      </c>
      <c r="N40" s="2170">
        <f t="shared" si="6"/>
        <v>140580</v>
      </c>
      <c r="O40" s="2170">
        <f t="shared" si="6"/>
        <v>183904</v>
      </c>
      <c r="P40" s="2170">
        <f t="shared" si="6"/>
        <v>223077</v>
      </c>
      <c r="Q40" s="2170">
        <f t="shared" si="6"/>
        <v>272540</v>
      </c>
      <c r="R40" s="2170">
        <f t="shared" si="6"/>
        <v>320615</v>
      </c>
      <c r="S40" s="301"/>
      <c r="T40" s="175"/>
      <c r="U40" s="175"/>
      <c r="V40" s="1056"/>
      <c r="W40" s="1056"/>
      <c r="X40" s="1056"/>
      <c r="AA40" s="536"/>
      <c r="AB40" s="536"/>
    </row>
    <row r="41" spans="1:28" s="280" customFormat="1" ht="11.45" customHeight="1">
      <c r="A41" s="177"/>
      <c r="C41" s="324"/>
      <c r="D41" s="1074" t="s">
        <v>1332</v>
      </c>
      <c r="E41" s="1074" t="s">
        <v>3376</v>
      </c>
      <c r="F41" s="1075">
        <v>104227</v>
      </c>
      <c r="G41" s="1075">
        <v>145918</v>
      </c>
      <c r="H41" s="1075">
        <v>187609</v>
      </c>
      <c r="I41" s="1075">
        <v>250145</v>
      </c>
      <c r="J41" s="1075">
        <v>312681</v>
      </c>
      <c r="L41" s="596" t="s">
        <v>1332</v>
      </c>
      <c r="M41" s="596" t="s">
        <v>3376</v>
      </c>
      <c r="N41" s="2170">
        <f t="shared" si="6"/>
        <v>114649</v>
      </c>
      <c r="O41" s="2170">
        <f t="shared" si="6"/>
        <v>160509</v>
      </c>
      <c r="P41" s="2170">
        <f t="shared" si="6"/>
        <v>206369</v>
      </c>
      <c r="Q41" s="2170">
        <f t="shared" si="6"/>
        <v>275159</v>
      </c>
      <c r="R41" s="2170">
        <f t="shared" si="6"/>
        <v>343949</v>
      </c>
      <c r="S41" s="301"/>
      <c r="T41" s="175"/>
      <c r="U41" s="175"/>
      <c r="V41" s="1056"/>
      <c r="W41" s="1056"/>
      <c r="X41" s="1056"/>
      <c r="AA41" s="536"/>
      <c r="AB41" s="536"/>
    </row>
    <row r="42" spans="1:28" s="280" customFormat="1" ht="11.45" customHeight="1">
      <c r="A42" s="177"/>
      <c r="C42" s="324"/>
      <c r="D42" s="1074" t="s">
        <v>1332</v>
      </c>
      <c r="E42" s="1074" t="s">
        <v>3374</v>
      </c>
      <c r="F42" s="1075">
        <v>117337</v>
      </c>
      <c r="G42" s="1075">
        <v>153594</v>
      </c>
      <c r="H42" s="1075">
        <v>186661</v>
      </c>
      <c r="I42" s="1075">
        <v>228950</v>
      </c>
      <c r="J42" s="1075">
        <v>271546</v>
      </c>
      <c r="L42" s="596" t="s">
        <v>1332</v>
      </c>
      <c r="M42" s="596" t="s">
        <v>3374</v>
      </c>
      <c r="N42" s="2170">
        <f t="shared" si="6"/>
        <v>129070</v>
      </c>
      <c r="O42" s="2170">
        <f t="shared" si="6"/>
        <v>168953</v>
      </c>
      <c r="P42" s="2170">
        <f t="shared" si="6"/>
        <v>205327</v>
      </c>
      <c r="Q42" s="2170">
        <f t="shared" si="6"/>
        <v>251845</v>
      </c>
      <c r="R42" s="2170">
        <f t="shared" si="6"/>
        <v>298700</v>
      </c>
      <c r="S42" s="301"/>
      <c r="T42" s="175"/>
      <c r="U42" s="175"/>
      <c r="V42" s="1056"/>
      <c r="W42" s="1056"/>
      <c r="X42" s="1056"/>
      <c r="AA42" s="536"/>
      <c r="AB42" s="536"/>
    </row>
    <row r="43" spans="1:28" s="280" customFormat="1" ht="11.45" customHeight="1">
      <c r="A43" s="177"/>
      <c r="C43" s="324"/>
      <c r="D43" s="1074" t="s">
        <v>1332</v>
      </c>
      <c r="E43" s="1074" t="s">
        <v>3375</v>
      </c>
      <c r="F43" s="1075">
        <v>101764</v>
      </c>
      <c r="G43" s="1075">
        <v>140627</v>
      </c>
      <c r="H43" s="1075">
        <v>178438</v>
      </c>
      <c r="I43" s="1075">
        <v>233177</v>
      </c>
      <c r="J43" s="1075">
        <v>290589</v>
      </c>
      <c r="L43" s="596" t="s">
        <v>1332</v>
      </c>
      <c r="M43" s="596" t="s">
        <v>3375</v>
      </c>
      <c r="N43" s="2170">
        <f t="shared" si="6"/>
        <v>111940</v>
      </c>
      <c r="O43" s="2170">
        <f t="shared" si="6"/>
        <v>154689</v>
      </c>
      <c r="P43" s="2170">
        <f t="shared" si="6"/>
        <v>196281</v>
      </c>
      <c r="Q43" s="2170">
        <f t="shared" si="6"/>
        <v>256494</v>
      </c>
      <c r="R43" s="2170">
        <f t="shared" si="6"/>
        <v>319647</v>
      </c>
      <c r="S43" s="301"/>
      <c r="T43" s="175"/>
      <c r="U43" s="175"/>
      <c r="V43" s="1056"/>
      <c r="W43" s="1056"/>
      <c r="X43" s="1056"/>
      <c r="AA43" s="536"/>
      <c r="AB43" s="536"/>
    </row>
    <row r="44" spans="1:28" s="280" customFormat="1" ht="11.45" customHeight="1">
      <c r="A44" s="177"/>
      <c r="C44" s="324"/>
      <c r="D44" s="1066" t="s">
        <v>1338</v>
      </c>
      <c r="E44" s="1066" t="s">
        <v>3379</v>
      </c>
      <c r="F44" s="1067">
        <v>135165</v>
      </c>
      <c r="G44" s="1067">
        <v>176624</v>
      </c>
      <c r="H44" s="1067">
        <v>214065</v>
      </c>
      <c r="I44" s="1067">
        <v>261200</v>
      </c>
      <c r="J44" s="1067">
        <v>307162</v>
      </c>
      <c r="L44" s="596" t="s">
        <v>1338</v>
      </c>
      <c r="M44" s="596" t="s">
        <v>3379</v>
      </c>
      <c r="N44" s="2170">
        <f t="shared" si="6"/>
        <v>148681</v>
      </c>
      <c r="O44" s="2170">
        <f t="shared" si="6"/>
        <v>194286</v>
      </c>
      <c r="P44" s="2170">
        <f t="shared" si="6"/>
        <v>235471</v>
      </c>
      <c r="Q44" s="2170">
        <f t="shared" si="6"/>
        <v>287320</v>
      </c>
      <c r="R44" s="2170">
        <f t="shared" si="6"/>
        <v>337878</v>
      </c>
      <c r="S44" s="301"/>
      <c r="T44" s="175"/>
      <c r="U44" s="175"/>
      <c r="V44" s="1056"/>
      <c r="W44" s="1056"/>
      <c r="X44" s="1056"/>
      <c r="AA44" s="536"/>
      <c r="AB44" s="536"/>
    </row>
    <row r="45" spans="1:28" s="280" customFormat="1" ht="11.45" customHeight="1">
      <c r="A45" s="177"/>
      <c r="C45" s="324"/>
      <c r="D45" s="1066" t="s">
        <v>1338</v>
      </c>
      <c r="E45" s="1066" t="s">
        <v>3376</v>
      </c>
      <c r="F45" s="1067">
        <v>110006</v>
      </c>
      <c r="G45" s="1067">
        <v>154008</v>
      </c>
      <c r="H45" s="1067">
        <v>198011</v>
      </c>
      <c r="I45" s="1067">
        <v>264014</v>
      </c>
      <c r="J45" s="1067">
        <v>330018</v>
      </c>
      <c r="L45" s="596" t="s">
        <v>1338</v>
      </c>
      <c r="M45" s="596" t="s">
        <v>3376</v>
      </c>
      <c r="N45" s="2170">
        <f t="shared" si="6"/>
        <v>121006</v>
      </c>
      <c r="O45" s="2170">
        <f t="shared" si="6"/>
        <v>169408</v>
      </c>
      <c r="P45" s="2170">
        <f t="shared" si="6"/>
        <v>217812</v>
      </c>
      <c r="Q45" s="2170">
        <f t="shared" si="6"/>
        <v>290415</v>
      </c>
      <c r="R45" s="2170">
        <f t="shared" si="6"/>
        <v>363019</v>
      </c>
      <c r="S45" s="301"/>
      <c r="T45" s="175"/>
      <c r="U45" s="175"/>
      <c r="V45" s="1056"/>
      <c r="W45" s="1056"/>
      <c r="X45" s="1056"/>
      <c r="AA45" s="536"/>
      <c r="AB45" s="536"/>
    </row>
    <row r="46" spans="1:28" s="280" customFormat="1" ht="11.45" customHeight="1">
      <c r="A46" s="177"/>
      <c r="C46" s="324"/>
      <c r="D46" s="1066" t="s">
        <v>1338</v>
      </c>
      <c r="E46" s="1066" t="s">
        <v>3374</v>
      </c>
      <c r="F46" s="1067">
        <v>124455</v>
      </c>
      <c r="G46" s="1067">
        <v>162712</v>
      </c>
      <c r="H46" s="1067">
        <v>197548</v>
      </c>
      <c r="I46" s="1067">
        <v>241944</v>
      </c>
      <c r="J46" s="1067">
        <v>286771</v>
      </c>
      <c r="L46" s="596" t="s">
        <v>1338</v>
      </c>
      <c r="M46" s="596" t="s">
        <v>3374</v>
      </c>
      <c r="N46" s="2170">
        <f t="shared" si="6"/>
        <v>136900</v>
      </c>
      <c r="O46" s="2170">
        <f t="shared" si="6"/>
        <v>178983</v>
      </c>
      <c r="P46" s="2170">
        <f t="shared" si="6"/>
        <v>217302</v>
      </c>
      <c r="Q46" s="2170">
        <f t="shared" si="6"/>
        <v>266138</v>
      </c>
      <c r="R46" s="2170">
        <f t="shared" si="6"/>
        <v>315448</v>
      </c>
      <c r="S46" s="301"/>
      <c r="T46" s="175"/>
      <c r="U46" s="175"/>
      <c r="V46" s="1056"/>
      <c r="W46" s="1056"/>
      <c r="X46" s="1056"/>
      <c r="AA46" s="536"/>
      <c r="AB46" s="536"/>
    </row>
    <row r="47" spans="1:28" s="280" customFormat="1" ht="11.45" customHeight="1">
      <c r="A47" s="177"/>
      <c r="C47" s="324"/>
      <c r="D47" s="1066" t="s">
        <v>1338</v>
      </c>
      <c r="E47" s="1066" t="s">
        <v>3375</v>
      </c>
      <c r="F47" s="1067">
        <v>108329</v>
      </c>
      <c r="G47" s="1067">
        <v>149776</v>
      </c>
      <c r="H47" s="1067">
        <v>190145</v>
      </c>
      <c r="I47" s="1067">
        <v>248674</v>
      </c>
      <c r="J47" s="1067">
        <v>309940</v>
      </c>
      <c r="L47" s="596" t="s">
        <v>1338</v>
      </c>
      <c r="M47" s="596" t="s">
        <v>3375</v>
      </c>
      <c r="N47" s="2170">
        <f t="shared" si="6"/>
        <v>119161</v>
      </c>
      <c r="O47" s="2170">
        <f t="shared" si="6"/>
        <v>164753</v>
      </c>
      <c r="P47" s="2170">
        <f t="shared" si="6"/>
        <v>209159</v>
      </c>
      <c r="Q47" s="2170">
        <f t="shared" si="6"/>
        <v>273541</v>
      </c>
      <c r="R47" s="2170">
        <f t="shared" si="6"/>
        <v>340934</v>
      </c>
      <c r="S47" s="301"/>
      <c r="T47" s="175"/>
      <c r="U47" s="175"/>
      <c r="V47" s="1056"/>
      <c r="W47" s="1056"/>
      <c r="X47" s="1056"/>
      <c r="AA47" s="536"/>
      <c r="AB47" s="536"/>
    </row>
    <row r="48" spans="1:28" s="280" customFormat="1" ht="11.45" customHeight="1">
      <c r="A48" s="177"/>
      <c r="C48" s="324"/>
      <c r="D48" s="1070" t="s">
        <v>1709</v>
      </c>
      <c r="E48" s="1070" t="s">
        <v>3379</v>
      </c>
      <c r="F48" s="1071">
        <v>122990</v>
      </c>
      <c r="G48" s="1071">
        <v>160975</v>
      </c>
      <c r="H48" s="1071">
        <v>195338</v>
      </c>
      <c r="I48" s="1071">
        <v>238786</v>
      </c>
      <c r="J48" s="1071">
        <v>280955</v>
      </c>
      <c r="L48" s="596" t="s">
        <v>1709</v>
      </c>
      <c r="M48" s="596" t="s">
        <v>3379</v>
      </c>
      <c r="N48" s="2170">
        <f t="shared" si="6"/>
        <v>135289</v>
      </c>
      <c r="O48" s="2170">
        <f t="shared" si="6"/>
        <v>177072</v>
      </c>
      <c r="P48" s="2170">
        <f t="shared" si="6"/>
        <v>214871</v>
      </c>
      <c r="Q48" s="2170">
        <f t="shared" si="6"/>
        <v>262664</v>
      </c>
      <c r="R48" s="2170">
        <f t="shared" si="6"/>
        <v>309050</v>
      </c>
      <c r="S48" s="301"/>
      <c r="T48" s="175"/>
      <c r="U48" s="175"/>
      <c r="V48" s="1056"/>
      <c r="W48" s="1056"/>
      <c r="X48" s="1056"/>
      <c r="AA48" s="536"/>
      <c r="AB48" s="536"/>
    </row>
    <row r="49" spans="1:28" s="280" customFormat="1" ht="11.45" customHeight="1">
      <c r="A49" s="177"/>
      <c r="C49" s="324"/>
      <c r="D49" s="1070" t="s">
        <v>1709</v>
      </c>
      <c r="E49" s="1070" t="s">
        <v>3376</v>
      </c>
      <c r="F49" s="1071">
        <v>100398</v>
      </c>
      <c r="G49" s="1071">
        <v>140558</v>
      </c>
      <c r="H49" s="1071">
        <v>180717</v>
      </c>
      <c r="I49" s="1071">
        <v>240956</v>
      </c>
      <c r="J49" s="1071">
        <v>301195</v>
      </c>
      <c r="L49" s="596" t="s">
        <v>1709</v>
      </c>
      <c r="M49" s="596" t="s">
        <v>3376</v>
      </c>
      <c r="N49" s="2170">
        <f t="shared" si="6"/>
        <v>110437</v>
      </c>
      <c r="O49" s="2170">
        <f t="shared" si="6"/>
        <v>154613</v>
      </c>
      <c r="P49" s="2170">
        <f t="shared" si="6"/>
        <v>198788</v>
      </c>
      <c r="Q49" s="2170">
        <f t="shared" si="6"/>
        <v>265051</v>
      </c>
      <c r="R49" s="2170">
        <f t="shared" si="6"/>
        <v>331314</v>
      </c>
      <c r="S49" s="301"/>
      <c r="T49" s="175"/>
      <c r="U49" s="175"/>
      <c r="V49" s="1056"/>
      <c r="W49" s="1056"/>
      <c r="X49" s="1056"/>
      <c r="AA49" s="536"/>
      <c r="AB49" s="536"/>
    </row>
    <row r="50" spans="1:28" s="280" customFormat="1" ht="11.45" customHeight="1">
      <c r="A50" s="177"/>
      <c r="C50" s="324"/>
      <c r="D50" s="1070" t="s">
        <v>1709</v>
      </c>
      <c r="E50" s="1070" t="s">
        <v>3374</v>
      </c>
      <c r="F50" s="1071">
        <v>112773</v>
      </c>
      <c r="G50" s="1071">
        <v>147703</v>
      </c>
      <c r="H50" s="1071">
        <v>179581</v>
      </c>
      <c r="I50" s="1071">
        <v>220415</v>
      </c>
      <c r="J50" s="1071">
        <v>261501</v>
      </c>
      <c r="L50" s="596" t="s">
        <v>1709</v>
      </c>
      <c r="M50" s="596" t="s">
        <v>3374</v>
      </c>
      <c r="N50" s="2170">
        <f t="shared" si="6"/>
        <v>124050</v>
      </c>
      <c r="O50" s="2170">
        <f t="shared" si="6"/>
        <v>162473</v>
      </c>
      <c r="P50" s="2170">
        <f t="shared" si="6"/>
        <v>197539</v>
      </c>
      <c r="Q50" s="2170">
        <f t="shared" si="6"/>
        <v>242456</v>
      </c>
      <c r="R50" s="2170">
        <f t="shared" si="6"/>
        <v>287651</v>
      </c>
      <c r="S50" s="301"/>
      <c r="T50" s="175"/>
      <c r="U50" s="175"/>
      <c r="V50" s="1056"/>
      <c r="W50" s="1056"/>
      <c r="X50" s="1056"/>
      <c r="AA50" s="536"/>
      <c r="AB50" s="536"/>
    </row>
    <row r="51" spans="1:28" s="280" customFormat="1" ht="11.45" customHeight="1">
      <c r="A51" s="177"/>
      <c r="C51" s="324"/>
      <c r="D51" s="1070" t="s">
        <v>1709</v>
      </c>
      <c r="E51" s="1070" t="s">
        <v>3375</v>
      </c>
      <c r="F51" s="1071">
        <v>97643</v>
      </c>
      <c r="G51" s="1071">
        <v>134902</v>
      </c>
      <c r="H51" s="1071">
        <v>171133</v>
      </c>
      <c r="I51" s="1071">
        <v>223548</v>
      </c>
      <c r="J51" s="1071">
        <v>278574</v>
      </c>
      <c r="L51" s="596" t="s">
        <v>1709</v>
      </c>
      <c r="M51" s="596" t="s">
        <v>3375</v>
      </c>
      <c r="N51" s="2170">
        <f t="shared" si="6"/>
        <v>107407</v>
      </c>
      <c r="O51" s="2170">
        <f t="shared" si="6"/>
        <v>148392</v>
      </c>
      <c r="P51" s="2170">
        <f t="shared" si="6"/>
        <v>188246</v>
      </c>
      <c r="Q51" s="2170">
        <f t="shared" si="6"/>
        <v>245902</v>
      </c>
      <c r="R51" s="2170">
        <f t="shared" si="6"/>
        <v>306431</v>
      </c>
      <c r="S51" s="301"/>
      <c r="T51" s="175"/>
      <c r="U51" s="175"/>
      <c r="V51" s="1056"/>
      <c r="W51" s="1056"/>
      <c r="X51" s="1056"/>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3580</v>
      </c>
      <c r="G53" s="177"/>
      <c r="H53" s="289"/>
      <c r="I53" s="175"/>
      <c r="J53" s="177"/>
      <c r="K53" s="290"/>
      <c r="L53" s="290"/>
      <c r="M53" s="290"/>
      <c r="N53" s="290"/>
      <c r="O53" s="177"/>
      <c r="P53" s="175"/>
      <c r="Q53" s="288"/>
      <c r="R53" s="288"/>
      <c r="S53" s="175"/>
      <c r="T53" s="175"/>
      <c r="U53" s="175"/>
      <c r="AA53" s="536"/>
      <c r="AB53" s="536"/>
    </row>
    <row r="54" spans="1:28" s="280" customFormat="1" ht="11.45" customHeight="1">
      <c r="A54" s="177"/>
      <c r="B54" s="177"/>
      <c r="C54" s="177"/>
      <c r="D54" s="175"/>
      <c r="E54" s="175"/>
      <c r="F54" s="177"/>
      <c r="G54" s="177"/>
      <c r="H54" s="175"/>
      <c r="I54" s="175"/>
      <c r="J54" s="287" t="s">
        <v>490</v>
      </c>
      <c r="K54" s="287" t="s">
        <v>2456</v>
      </c>
      <c r="L54" s="287" t="s">
        <v>2457</v>
      </c>
      <c r="M54" s="287" t="s">
        <v>2458</v>
      </c>
      <c r="N54" s="287" t="s">
        <v>2459</v>
      </c>
      <c r="O54" s="177"/>
      <c r="P54" s="175"/>
      <c r="Q54" s="178" t="s">
        <v>3064</v>
      </c>
      <c r="R54" s="178" t="s">
        <v>1743</v>
      </c>
      <c r="S54" s="286"/>
      <c r="T54" s="286"/>
      <c r="U54" s="175"/>
      <c r="V54" s="1056"/>
      <c r="W54" s="1056"/>
      <c r="X54" s="1056"/>
      <c r="AA54" s="536"/>
      <c r="AB54" s="536"/>
    </row>
    <row r="55" spans="1:28" s="280" customFormat="1" ht="11.45" customHeight="1">
      <c r="A55" s="177"/>
      <c r="B55" s="177"/>
      <c r="C55" s="177"/>
      <c r="D55" s="175"/>
      <c r="E55" s="175"/>
      <c r="F55" s="177" t="s">
        <v>3567</v>
      </c>
      <c r="G55" s="177"/>
      <c r="H55" s="175"/>
      <c r="I55" s="175"/>
      <c r="J55" s="681">
        <v>110481</v>
      </c>
      <c r="K55" s="681">
        <v>126647</v>
      </c>
      <c r="L55" s="681">
        <v>154003</v>
      </c>
      <c r="M55" s="681">
        <v>199229</v>
      </c>
      <c r="N55" s="681">
        <v>199229</v>
      </c>
      <c r="O55" s="177"/>
      <c r="P55" s="175"/>
      <c r="Q55" s="682">
        <v>1000</v>
      </c>
      <c r="R55" s="682">
        <v>0</v>
      </c>
      <c r="S55" s="301" t="s">
        <v>3566</v>
      </c>
      <c r="T55" s="286"/>
      <c r="U55" s="175"/>
      <c r="V55" s="1056"/>
      <c r="W55" s="1056"/>
      <c r="X55" s="1056"/>
      <c r="AA55" s="536"/>
      <c r="AB55" s="536"/>
    </row>
    <row r="56" spans="1:28" s="280" customFormat="1" ht="11.45" customHeight="1">
      <c r="A56" s="177"/>
      <c r="B56" s="177"/>
      <c r="C56" s="177"/>
      <c r="D56" s="175"/>
      <c r="E56" s="175"/>
      <c r="O56" s="177"/>
      <c r="T56" s="286"/>
      <c r="U56" s="175"/>
      <c r="V56" s="1056"/>
      <c r="W56" s="1056"/>
      <c r="X56" s="1056"/>
      <c r="AA56" s="536"/>
      <c r="AB56" s="536"/>
    </row>
    <row r="57" spans="1:28" s="280" customFormat="1" ht="11.45" customHeight="1">
      <c r="A57" s="281" t="s">
        <v>1740</v>
      </c>
      <c r="B57" s="281"/>
      <c r="C57" s="281"/>
      <c r="D57" s="175"/>
      <c r="E57" s="175"/>
      <c r="F57" s="281" t="s">
        <v>1741</v>
      </c>
      <c r="G57" s="281"/>
      <c r="H57" s="175"/>
      <c r="I57" s="175"/>
      <c r="J57" s="281" t="s">
        <v>1742</v>
      </c>
      <c r="K57" s="281"/>
      <c r="L57" s="281"/>
      <c r="M57" s="281"/>
      <c r="N57" s="281"/>
      <c r="O57" s="281"/>
      <c r="P57" s="175"/>
      <c r="Q57" s="178" t="s">
        <v>3064</v>
      </c>
      <c r="R57" s="178" t="s">
        <v>1743</v>
      </c>
      <c r="S57" s="301"/>
      <c r="T57" s="286"/>
      <c r="U57" s="175"/>
      <c r="V57" s="1056"/>
      <c r="W57" s="1056"/>
      <c r="X57" s="1056"/>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45" customHeight="1">
      <c r="A60" s="175"/>
      <c r="B60" s="177" t="s">
        <v>1206</v>
      </c>
      <c r="C60" s="177"/>
      <c r="D60" s="175"/>
      <c r="E60" s="175"/>
      <c r="F60" s="177" t="s">
        <v>1207</v>
      </c>
      <c r="G60" s="177" t="s">
        <v>3688</v>
      </c>
      <c r="H60" s="175"/>
      <c r="I60" s="175"/>
      <c r="J60" s="177" t="s">
        <v>1542</v>
      </c>
      <c r="K60" s="177"/>
      <c r="L60" s="177"/>
      <c r="M60" s="177"/>
      <c r="N60" s="177"/>
      <c r="O60" s="177"/>
      <c r="P60" s="175"/>
      <c r="Q60" s="1210">
        <v>4500</v>
      </c>
      <c r="R60" s="291" t="s">
        <v>1746</v>
      </c>
      <c r="S60" s="292"/>
      <c r="AA60" s="536"/>
      <c r="AB60" s="536"/>
    </row>
    <row r="61" spans="1:28" s="280" customFormat="1" ht="11.45" customHeight="1">
      <c r="A61" s="175"/>
      <c r="B61" s="177"/>
      <c r="C61" s="177"/>
      <c r="D61" s="175"/>
      <c r="E61" s="175"/>
      <c r="F61" s="177"/>
      <c r="G61" s="177" t="s">
        <v>3687</v>
      </c>
      <c r="H61" s="175"/>
      <c r="I61" s="175"/>
      <c r="J61" s="177" t="s">
        <v>1542</v>
      </c>
      <c r="K61" s="177"/>
      <c r="L61" s="177"/>
      <c r="M61" s="177"/>
      <c r="N61" s="177"/>
      <c r="O61" s="177"/>
      <c r="P61" s="175"/>
      <c r="Q61" s="1210">
        <v>4000</v>
      </c>
      <c r="R61" s="291" t="s">
        <v>1746</v>
      </c>
      <c r="S61" s="292"/>
      <c r="AA61" s="536"/>
      <c r="AB61" s="536"/>
    </row>
    <row r="62" spans="1:28" s="280" customFormat="1" ht="11.45" customHeight="1">
      <c r="A62" s="175"/>
      <c r="B62" s="177"/>
      <c r="C62" s="177"/>
      <c r="D62" s="175"/>
      <c r="E62" s="175"/>
      <c r="F62" s="177" t="s">
        <v>2616</v>
      </c>
      <c r="G62" s="177" t="s">
        <v>2630</v>
      </c>
      <c r="H62" s="175"/>
      <c r="I62" s="175"/>
      <c r="J62" s="177" t="s">
        <v>1542</v>
      </c>
      <c r="K62" s="177"/>
      <c r="L62" s="177"/>
      <c r="M62" s="177"/>
      <c r="N62" s="177"/>
      <c r="O62" s="177"/>
      <c r="P62" s="175"/>
      <c r="Q62" s="1210">
        <v>3500</v>
      </c>
      <c r="R62" s="291" t="s">
        <v>1746</v>
      </c>
      <c r="S62" s="292"/>
      <c r="AA62" s="536"/>
      <c r="AB62" s="536"/>
    </row>
    <row r="63" spans="1:28" s="280" customFormat="1" ht="11.45" customHeight="1">
      <c r="A63" s="177"/>
      <c r="B63" s="177"/>
      <c r="C63" s="177"/>
      <c r="D63" s="175"/>
      <c r="E63" s="175"/>
      <c r="G63" s="177" t="s">
        <v>2629</v>
      </c>
      <c r="H63" s="175"/>
      <c r="I63" s="175"/>
      <c r="J63" s="177" t="s">
        <v>1542</v>
      </c>
      <c r="K63" s="177"/>
      <c r="L63" s="177"/>
      <c r="M63" s="177"/>
      <c r="N63" s="177"/>
      <c r="O63" s="177"/>
      <c r="P63" s="175"/>
      <c r="Q63" s="1210">
        <v>3000</v>
      </c>
      <c r="R63" s="291" t="s">
        <v>1746</v>
      </c>
      <c r="S63" s="292"/>
      <c r="AA63" s="536"/>
      <c r="AB63" s="536"/>
    </row>
    <row r="64" spans="1:28" s="280" customFormat="1" ht="11.45" customHeight="1">
      <c r="A64" s="177"/>
      <c r="B64" s="177"/>
      <c r="C64" s="177"/>
      <c r="D64" s="175"/>
      <c r="E64" s="175"/>
      <c r="G64" s="177" t="s">
        <v>3978</v>
      </c>
      <c r="H64" s="175"/>
      <c r="I64" s="175"/>
      <c r="J64" s="177" t="s">
        <v>1542</v>
      </c>
      <c r="K64" s="177"/>
      <c r="L64" s="177"/>
      <c r="M64" s="177"/>
      <c r="N64" s="177"/>
      <c r="O64" s="177"/>
      <c r="P64" s="175"/>
      <c r="Q64" s="1210">
        <v>3000</v>
      </c>
      <c r="R64" s="291" t="s">
        <v>1746</v>
      </c>
      <c r="S64" s="292"/>
      <c r="T64" s="292"/>
      <c r="U64" s="292"/>
      <c r="AA64" s="536"/>
      <c r="AB64" s="536"/>
    </row>
    <row r="65" spans="1:28" s="280" customFormat="1" ht="11.45" customHeight="1">
      <c r="A65" s="177"/>
      <c r="B65" s="177" t="s">
        <v>1208</v>
      </c>
      <c r="C65" s="177"/>
      <c r="D65" s="175"/>
      <c r="E65" s="175"/>
      <c r="F65" s="177" t="s">
        <v>278</v>
      </c>
      <c r="G65" s="177"/>
      <c r="H65" s="175"/>
      <c r="I65" s="175"/>
      <c r="J65" s="177" t="s">
        <v>1542</v>
      </c>
      <c r="K65" s="177"/>
      <c r="L65" s="177"/>
      <c r="M65" s="177"/>
      <c r="N65" s="177"/>
      <c r="O65" s="177"/>
      <c r="P65" s="175"/>
      <c r="Q65" s="1211">
        <v>350</v>
      </c>
      <c r="R65" s="291" t="s">
        <v>1746</v>
      </c>
      <c r="S65" s="292"/>
      <c r="T65" s="292"/>
      <c r="U65" s="292"/>
      <c r="AA65" s="536"/>
      <c r="AB65" s="536"/>
    </row>
    <row r="66" spans="1:28" s="280" customFormat="1" ht="11.45" customHeight="1">
      <c r="A66" s="177"/>
      <c r="B66" s="177"/>
      <c r="C66" s="177"/>
      <c r="D66" s="175"/>
      <c r="E66" s="175"/>
      <c r="F66" s="177" t="s">
        <v>1209</v>
      </c>
      <c r="G66" s="177"/>
      <c r="H66" s="175"/>
      <c r="I66" s="175"/>
      <c r="J66" s="177" t="s">
        <v>1542</v>
      </c>
      <c r="K66" s="177"/>
      <c r="L66" s="177"/>
      <c r="M66" s="177"/>
      <c r="N66" s="177"/>
      <c r="O66" s="177"/>
      <c r="P66" s="175"/>
      <c r="Q66" s="1211">
        <v>250</v>
      </c>
      <c r="R66" s="291" t="s">
        <v>1746</v>
      </c>
      <c r="S66" s="292"/>
      <c r="T66" s="292"/>
      <c r="U66" s="292"/>
      <c r="AA66" s="536"/>
      <c r="AB66" s="536"/>
    </row>
    <row r="67" spans="1:28" s="280" customFormat="1" ht="11.45" customHeight="1">
      <c r="A67" s="177"/>
      <c r="B67" s="177"/>
      <c r="C67" s="177"/>
      <c r="D67" s="177"/>
      <c r="E67" s="175"/>
      <c r="F67" s="177" t="s">
        <v>3452</v>
      </c>
      <c r="G67" s="177"/>
      <c r="H67" s="175"/>
      <c r="I67" s="175"/>
      <c r="J67" s="177" t="s">
        <v>1542</v>
      </c>
      <c r="K67" s="177"/>
      <c r="L67" s="177"/>
      <c r="M67" s="177"/>
      <c r="N67" s="177"/>
      <c r="O67" s="177"/>
      <c r="P67" s="175"/>
      <c r="Q67" s="1211">
        <v>420</v>
      </c>
      <c r="R67" s="291" t="s">
        <v>1746</v>
      </c>
      <c r="S67" s="292"/>
      <c r="T67" s="292"/>
      <c r="U67" s="292"/>
      <c r="AA67" s="536"/>
      <c r="AB67" s="536"/>
    </row>
    <row r="68" spans="1:28" s="280" customFormat="1" ht="11.45" customHeight="1">
      <c r="A68" s="177"/>
      <c r="B68" s="177"/>
      <c r="C68" s="177"/>
      <c r="D68" s="177"/>
      <c r="E68" s="175"/>
      <c r="F68" s="177" t="s">
        <v>368</v>
      </c>
      <c r="G68" s="177"/>
      <c r="H68" s="175"/>
      <c r="I68" s="175"/>
      <c r="J68" s="177" t="s">
        <v>1542</v>
      </c>
      <c r="K68" s="177"/>
      <c r="L68" s="177"/>
      <c r="M68" s="177"/>
      <c r="N68" s="177"/>
      <c r="O68" s="177"/>
      <c r="P68" s="175"/>
      <c r="Q68" s="1211">
        <v>420</v>
      </c>
      <c r="R68" s="291" t="s">
        <v>1746</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45" customHeight="1">
      <c r="A71" s="177"/>
      <c r="B71" s="177" t="s">
        <v>768</v>
      </c>
      <c r="C71" s="177"/>
      <c r="D71" s="175"/>
      <c r="E71" s="175"/>
      <c r="F71" s="177" t="s">
        <v>278</v>
      </c>
      <c r="G71" s="177"/>
      <c r="H71" s="175"/>
      <c r="I71" s="175"/>
      <c r="J71" s="177" t="s">
        <v>3894</v>
      </c>
      <c r="K71" s="177"/>
      <c r="L71" s="177"/>
      <c r="M71" s="177"/>
      <c r="N71" s="177"/>
      <c r="O71" s="177"/>
      <c r="P71" s="175"/>
      <c r="Q71" s="1610">
        <v>25000</v>
      </c>
      <c r="R71" s="291" t="s">
        <v>512</v>
      </c>
      <c r="S71" s="292"/>
      <c r="T71" s="292"/>
      <c r="U71" s="292"/>
      <c r="AA71" s="536"/>
      <c r="AB71" s="536"/>
    </row>
    <row r="72" spans="1:28" s="280" customFormat="1" ht="11.45" customHeight="1">
      <c r="A72" s="177"/>
      <c r="B72" s="177" t="s">
        <v>1977</v>
      </c>
      <c r="C72" s="177"/>
      <c r="D72" s="175"/>
      <c r="E72" s="175"/>
      <c r="F72" s="177" t="s">
        <v>1209</v>
      </c>
      <c r="G72" s="177"/>
      <c r="H72" s="175"/>
      <c r="I72" s="175"/>
      <c r="J72" s="177" t="s">
        <v>3979</v>
      </c>
      <c r="K72" s="177"/>
      <c r="L72" s="177"/>
      <c r="M72" s="177"/>
      <c r="N72" s="177"/>
      <c r="O72" s="177"/>
      <c r="P72" s="175"/>
      <c r="Q72" s="1611" t="s">
        <v>979</v>
      </c>
      <c r="R72" s="1611">
        <v>0.05</v>
      </c>
      <c r="S72" s="292"/>
      <c r="T72" s="292"/>
      <c r="U72" s="292"/>
      <c r="AA72" s="536"/>
      <c r="AB72" s="536"/>
    </row>
    <row r="73" spans="1:28" s="280" customFormat="1" ht="11.45" customHeight="1">
      <c r="A73" s="177"/>
      <c r="B73" s="177"/>
      <c r="C73" s="177"/>
      <c r="D73" s="175"/>
      <c r="E73" s="175"/>
      <c r="F73" s="177" t="s">
        <v>278</v>
      </c>
      <c r="G73" s="177"/>
      <c r="H73" s="175"/>
      <c r="I73" s="175"/>
      <c r="J73" s="177" t="s">
        <v>3979</v>
      </c>
      <c r="K73" s="177"/>
      <c r="L73" s="177"/>
      <c r="M73" s="177"/>
      <c r="N73" s="177"/>
      <c r="O73" s="177"/>
      <c r="P73" s="175"/>
      <c r="Q73" s="1611" t="s">
        <v>979</v>
      </c>
      <c r="R73" s="1611">
        <v>0.1</v>
      </c>
      <c r="S73" s="292"/>
      <c r="T73" s="292"/>
      <c r="U73" s="292"/>
      <c r="AA73" s="536"/>
      <c r="AB73" s="536"/>
    </row>
    <row r="74" spans="1:28" s="280" customFormat="1" ht="11.45" customHeight="1">
      <c r="A74" s="177"/>
      <c r="B74" s="177" t="s">
        <v>2054</v>
      </c>
      <c r="C74" s="177"/>
      <c r="D74" s="175"/>
      <c r="E74" s="175"/>
      <c r="F74" s="177" t="s">
        <v>1746</v>
      </c>
      <c r="G74" s="177"/>
      <c r="H74" s="175"/>
      <c r="I74" s="175"/>
      <c r="J74" s="177" t="s">
        <v>3980</v>
      </c>
      <c r="K74" s="177"/>
      <c r="L74" s="177"/>
      <c r="M74" s="177"/>
      <c r="N74" s="177"/>
      <c r="O74" s="177"/>
      <c r="P74" s="175"/>
      <c r="Q74" s="291" t="s">
        <v>1746</v>
      </c>
      <c r="R74" s="1611">
        <v>0.06</v>
      </c>
      <c r="S74" s="292"/>
      <c r="T74" s="292"/>
      <c r="U74" s="292"/>
      <c r="AA74" s="536"/>
      <c r="AB74" s="536"/>
    </row>
    <row r="75" spans="1:28" s="280" customFormat="1" ht="11.45" customHeight="1">
      <c r="A75" s="177"/>
      <c r="B75" s="177" t="s">
        <v>2055</v>
      </c>
      <c r="C75" s="177"/>
      <c r="D75" s="175"/>
      <c r="E75" s="175"/>
      <c r="F75" s="177" t="s">
        <v>1746</v>
      </c>
      <c r="G75" s="177"/>
      <c r="H75" s="175"/>
      <c r="I75" s="175"/>
      <c r="J75" s="177" t="s">
        <v>3980</v>
      </c>
      <c r="K75" s="177"/>
      <c r="L75" s="177"/>
      <c r="M75" s="177"/>
      <c r="N75" s="177"/>
      <c r="O75" s="177"/>
      <c r="P75" s="175"/>
      <c r="Q75" s="291" t="s">
        <v>1746</v>
      </c>
      <c r="R75" s="1611">
        <v>0.02</v>
      </c>
      <c r="S75" s="292"/>
      <c r="T75" s="292"/>
      <c r="U75" s="292"/>
      <c r="AA75" s="536"/>
      <c r="AB75" s="536"/>
    </row>
    <row r="76" spans="1:28" s="280" customFormat="1" ht="11.45" customHeight="1">
      <c r="A76" s="177"/>
      <c r="B76" s="177" t="s">
        <v>2835</v>
      </c>
      <c r="C76" s="177"/>
      <c r="D76" s="175"/>
      <c r="E76" s="175"/>
      <c r="F76" s="177" t="s">
        <v>1746</v>
      </c>
      <c r="G76" s="177"/>
      <c r="H76" s="175"/>
      <c r="I76" s="175"/>
      <c r="J76" s="177" t="s">
        <v>3980</v>
      </c>
      <c r="K76" s="177"/>
      <c r="L76" s="177"/>
      <c r="M76" s="177"/>
      <c r="N76" s="177"/>
      <c r="O76" s="177"/>
      <c r="P76" s="175"/>
      <c r="Q76" s="291" t="s">
        <v>1746</v>
      </c>
      <c r="R76" s="1611">
        <v>0.06</v>
      </c>
      <c r="S76" s="292"/>
      <c r="T76" s="292"/>
      <c r="U76" s="292"/>
      <c r="AA76" s="536"/>
      <c r="AB76" s="536"/>
    </row>
    <row r="77" spans="1:28" s="280" customFormat="1" ht="11.45" customHeight="1">
      <c r="A77" s="177"/>
      <c r="B77" s="177" t="s">
        <v>1304</v>
      </c>
      <c r="C77" s="177"/>
      <c r="D77" s="175"/>
      <c r="E77" s="175"/>
      <c r="F77" s="177" t="s">
        <v>1137</v>
      </c>
      <c r="G77" s="177"/>
      <c r="H77" s="175"/>
      <c r="I77" s="175"/>
      <c r="J77" s="177"/>
      <c r="K77" s="177"/>
      <c r="L77" s="177"/>
      <c r="M77" s="177"/>
      <c r="N77" s="177"/>
      <c r="O77" s="177"/>
      <c r="P77" s="175"/>
      <c r="Q77" s="291" t="s">
        <v>1746</v>
      </c>
      <c r="R77" s="1610">
        <v>20000</v>
      </c>
      <c r="S77" s="292"/>
      <c r="T77" s="292"/>
      <c r="U77" s="292"/>
      <c r="AA77" s="536"/>
      <c r="AB77" s="536"/>
    </row>
    <row r="78" spans="1:28" s="280" customFormat="1" ht="11.45" customHeight="1">
      <c r="A78" s="175"/>
      <c r="B78" s="292" t="s">
        <v>3876</v>
      </c>
      <c r="C78" s="177"/>
      <c r="D78" s="177"/>
      <c r="E78" s="175"/>
      <c r="F78" s="179" t="s">
        <v>3502</v>
      </c>
      <c r="G78" s="177"/>
      <c r="H78" s="175"/>
      <c r="I78" s="175"/>
      <c r="J78" s="177" t="s">
        <v>1212</v>
      </c>
      <c r="K78" s="177"/>
      <c r="L78" s="177"/>
      <c r="M78" s="177"/>
      <c r="N78" s="177"/>
      <c r="O78" s="177"/>
      <c r="P78" s="175"/>
      <c r="Q78" s="3740">
        <v>1000</v>
      </c>
      <c r="R78" s="3741"/>
      <c r="S78" s="292"/>
      <c r="T78" s="292"/>
      <c r="U78" s="292"/>
      <c r="AA78" s="536"/>
      <c r="AB78" s="536"/>
    </row>
    <row r="79" spans="1:28" s="280" customFormat="1" ht="11.45" customHeight="1">
      <c r="A79" s="177"/>
      <c r="B79" s="177"/>
      <c r="C79" s="177"/>
      <c r="D79" s="177"/>
      <c r="E79" s="175"/>
      <c r="G79" s="177"/>
      <c r="H79" s="175"/>
      <c r="I79" s="175"/>
      <c r="J79" s="177" t="s">
        <v>1213</v>
      </c>
      <c r="K79" s="177"/>
      <c r="L79" s="177"/>
      <c r="M79" s="177"/>
      <c r="N79" s="177"/>
      <c r="O79" s="177"/>
      <c r="P79" s="175"/>
      <c r="Q79" s="3740">
        <v>500</v>
      </c>
      <c r="R79" s="3741"/>
      <c r="S79" s="292"/>
      <c r="T79" s="292"/>
      <c r="U79" s="292"/>
      <c r="AA79" s="536"/>
      <c r="AB79" s="536"/>
    </row>
    <row r="80" spans="1:28" s="280" customFormat="1" ht="11.45" customHeight="1">
      <c r="A80" s="177"/>
      <c r="B80" s="177"/>
      <c r="C80" s="177"/>
      <c r="D80" s="177"/>
      <c r="E80" s="175"/>
      <c r="F80" s="179" t="s">
        <v>3988</v>
      </c>
      <c r="G80" s="177"/>
      <c r="H80" s="175"/>
      <c r="I80" s="175"/>
      <c r="J80" s="179" t="s">
        <v>3984</v>
      </c>
      <c r="K80" s="177"/>
      <c r="L80" s="177"/>
      <c r="M80" s="177"/>
      <c r="N80" s="177"/>
      <c r="O80" s="177"/>
      <c r="P80" s="175"/>
      <c r="Q80" s="3740">
        <v>1500</v>
      </c>
      <c r="R80" s="3741"/>
      <c r="S80" s="292"/>
      <c r="T80" s="292"/>
      <c r="U80" s="292"/>
      <c r="AA80" s="536"/>
      <c r="AB80" s="536"/>
    </row>
    <row r="81" spans="1:28" s="280" customFormat="1" ht="11.45" customHeight="1">
      <c r="A81" s="177"/>
      <c r="B81" s="177"/>
      <c r="C81" s="177"/>
      <c r="D81" s="177"/>
      <c r="E81" s="175"/>
      <c r="G81" s="177"/>
      <c r="H81" s="175"/>
      <c r="I81" s="175"/>
      <c r="J81" s="179" t="s">
        <v>3985</v>
      </c>
      <c r="K81" s="177"/>
      <c r="L81" s="177"/>
      <c r="M81" s="177"/>
      <c r="N81" s="177"/>
      <c r="O81" s="177"/>
      <c r="P81" s="175"/>
      <c r="Q81" s="3740">
        <v>1500</v>
      </c>
      <c r="R81" s="3741"/>
      <c r="S81" s="292"/>
      <c r="T81" s="292"/>
      <c r="U81" s="292"/>
      <c r="AA81" s="536"/>
      <c r="AB81" s="536"/>
    </row>
    <row r="82" spans="1:28" s="280" customFormat="1" ht="11.45" customHeight="1">
      <c r="A82" s="177"/>
      <c r="B82" s="177"/>
      <c r="C82" s="177"/>
      <c r="D82" s="177"/>
      <c r="E82" s="175"/>
      <c r="G82" s="177"/>
      <c r="H82" s="175"/>
      <c r="I82" s="175"/>
      <c r="J82" s="179" t="s">
        <v>3986</v>
      </c>
      <c r="K82" s="177"/>
      <c r="L82" s="177"/>
      <c r="M82" s="177"/>
      <c r="N82" s="177"/>
      <c r="O82" s="177"/>
      <c r="P82" s="175"/>
      <c r="Q82" s="3740">
        <v>1500</v>
      </c>
      <c r="R82" s="3741"/>
      <c r="S82" s="292"/>
      <c r="T82" s="292"/>
      <c r="U82" s="292"/>
      <c r="AA82" s="536"/>
      <c r="AB82" s="536"/>
    </row>
    <row r="83" spans="1:28" s="280" customFormat="1" ht="11.45" customHeight="1">
      <c r="A83" s="177"/>
      <c r="B83" s="177"/>
      <c r="C83" s="177"/>
      <c r="D83" s="177"/>
      <c r="E83" s="175"/>
      <c r="G83" s="177"/>
      <c r="H83" s="175"/>
      <c r="I83" s="175"/>
      <c r="J83" s="179" t="s">
        <v>3987</v>
      </c>
      <c r="K83" s="177"/>
      <c r="L83" s="177"/>
      <c r="M83" s="177"/>
      <c r="N83" s="177"/>
      <c r="O83" s="177"/>
      <c r="P83" s="175"/>
      <c r="Q83" s="3740">
        <v>1500</v>
      </c>
      <c r="R83" s="3741"/>
      <c r="S83" s="292"/>
      <c r="T83" s="292"/>
      <c r="U83" s="292"/>
      <c r="AA83" s="536"/>
      <c r="AB83" s="536"/>
    </row>
    <row r="84" spans="1:28" s="280" customFormat="1" ht="11.45" customHeight="1">
      <c r="A84" s="177"/>
      <c r="B84" s="177"/>
      <c r="C84" s="177"/>
      <c r="D84" s="177"/>
      <c r="E84" s="175"/>
      <c r="F84" s="179" t="s">
        <v>1211</v>
      </c>
      <c r="G84" s="177"/>
      <c r="H84" s="175"/>
      <c r="I84" s="175"/>
      <c r="J84" s="177" t="s">
        <v>1212</v>
      </c>
      <c r="K84" s="177"/>
      <c r="L84" s="177"/>
      <c r="M84" s="177"/>
      <c r="N84" s="177"/>
      <c r="O84" s="177"/>
      <c r="P84" s="175"/>
      <c r="Q84" s="3740">
        <v>6500</v>
      </c>
      <c r="R84" s="3741"/>
      <c r="S84" s="292"/>
      <c r="T84" s="292"/>
      <c r="U84" s="292"/>
      <c r="AA84" s="536"/>
      <c r="AB84" s="536"/>
    </row>
    <row r="85" spans="1:28" s="280" customFormat="1" ht="11.45" customHeight="1">
      <c r="A85" s="177"/>
      <c r="B85" s="177"/>
      <c r="C85" s="177"/>
      <c r="D85" s="177"/>
      <c r="E85" s="175"/>
      <c r="F85" s="179" t="s">
        <v>1211</v>
      </c>
      <c r="G85" s="177"/>
      <c r="H85" s="175"/>
      <c r="I85" s="175"/>
      <c r="J85" s="177" t="s">
        <v>1213</v>
      </c>
      <c r="K85" s="177"/>
      <c r="L85" s="177"/>
      <c r="M85" s="177"/>
      <c r="N85" s="177"/>
      <c r="O85" s="177"/>
      <c r="P85" s="175"/>
      <c r="Q85" s="3740">
        <v>5500</v>
      </c>
      <c r="R85" s="3741"/>
      <c r="S85" s="292"/>
      <c r="T85" s="292"/>
      <c r="U85" s="292"/>
      <c r="AA85" s="536"/>
      <c r="AB85" s="536"/>
    </row>
    <row r="86" spans="1:28" s="280" customFormat="1" ht="11.45" customHeight="1">
      <c r="A86" s="177"/>
      <c r="B86" s="177"/>
      <c r="C86" s="177"/>
      <c r="D86" s="177"/>
      <c r="E86" s="175"/>
      <c r="F86" s="179" t="s">
        <v>3460</v>
      </c>
      <c r="G86" s="177"/>
      <c r="H86" s="175"/>
      <c r="I86" s="175"/>
      <c r="J86" s="177"/>
      <c r="K86" s="177"/>
      <c r="L86" s="177"/>
      <c r="M86" s="177"/>
      <c r="N86" s="177"/>
      <c r="O86" s="177"/>
      <c r="P86" s="175"/>
      <c r="Q86" s="3740">
        <v>5000</v>
      </c>
      <c r="R86" s="3741"/>
      <c r="S86" s="292"/>
      <c r="T86" s="292"/>
      <c r="U86" s="292"/>
      <c r="AA86" s="536"/>
      <c r="AB86" s="536"/>
    </row>
    <row r="87" spans="1:28" s="280" customFormat="1" ht="11.45" customHeight="1">
      <c r="A87" s="177"/>
      <c r="B87" s="177"/>
      <c r="C87" s="177"/>
      <c r="D87" s="177"/>
      <c r="E87" s="175"/>
      <c r="F87" s="179" t="s">
        <v>3982</v>
      </c>
      <c r="G87" s="177"/>
      <c r="H87" s="175"/>
      <c r="I87" s="175"/>
      <c r="J87" s="177"/>
      <c r="K87" s="177"/>
      <c r="L87" s="177"/>
      <c r="M87" s="177"/>
      <c r="N87" s="177"/>
      <c r="O87" s="177"/>
      <c r="P87" s="175"/>
      <c r="Q87" s="3740">
        <v>1500</v>
      </c>
      <c r="R87" s="3741"/>
      <c r="S87" s="292"/>
      <c r="T87" s="292"/>
      <c r="U87" s="292"/>
      <c r="AA87" s="536"/>
      <c r="AB87" s="536"/>
    </row>
    <row r="88" spans="1:28" s="280" customFormat="1" ht="11.45" customHeight="1">
      <c r="A88" s="177"/>
      <c r="C88" s="177"/>
      <c r="D88" s="175"/>
      <c r="E88" s="175"/>
      <c r="F88" s="179" t="s">
        <v>957</v>
      </c>
      <c r="H88" s="177"/>
      <c r="I88" s="175"/>
      <c r="J88" s="177" t="s">
        <v>958</v>
      </c>
      <c r="K88" s="177"/>
      <c r="L88" s="177"/>
      <c r="M88" s="177"/>
      <c r="N88" s="177"/>
      <c r="O88" s="177"/>
      <c r="P88" s="175"/>
      <c r="Q88" s="3733">
        <v>0.08</v>
      </c>
      <c r="R88" s="3733"/>
      <c r="S88" s="292"/>
      <c r="T88" s="292"/>
      <c r="U88" s="292"/>
      <c r="AA88" s="536"/>
      <c r="AB88" s="536"/>
    </row>
    <row r="89" spans="1:28" s="280" customFormat="1" ht="11.45" customHeight="1">
      <c r="A89" s="177"/>
      <c r="C89" s="177"/>
      <c r="D89" s="175"/>
      <c r="E89" s="175"/>
      <c r="F89" s="179" t="s">
        <v>959</v>
      </c>
      <c r="H89" s="177"/>
      <c r="I89" s="175"/>
      <c r="J89" s="177" t="s">
        <v>958</v>
      </c>
      <c r="K89" s="177"/>
      <c r="L89" s="177"/>
      <c r="M89" s="177"/>
      <c r="N89" s="177"/>
      <c r="O89" s="177"/>
      <c r="P89" s="175"/>
      <c r="Q89" s="3733">
        <v>0.08</v>
      </c>
      <c r="R89" s="3733"/>
      <c r="S89" s="292"/>
      <c r="T89" s="292"/>
      <c r="U89" s="292"/>
      <c r="AA89" s="536"/>
      <c r="AB89" s="536"/>
    </row>
    <row r="90" spans="1:28" s="280" customFormat="1" ht="11.45" customHeight="1">
      <c r="A90" s="177"/>
      <c r="C90" s="177"/>
      <c r="D90" s="175"/>
      <c r="E90" s="175"/>
      <c r="F90" s="179" t="s">
        <v>4296</v>
      </c>
      <c r="H90" s="177"/>
      <c r="I90" s="175"/>
      <c r="J90" s="177"/>
      <c r="K90" s="177"/>
      <c r="L90" s="177"/>
      <c r="M90" s="177"/>
      <c r="N90" s="177"/>
      <c r="O90" s="177"/>
      <c r="P90" s="175"/>
      <c r="Q90" s="3740">
        <v>3000</v>
      </c>
      <c r="R90" s="3741"/>
      <c r="S90" s="292"/>
      <c r="T90" s="292"/>
      <c r="U90" s="292"/>
      <c r="AA90" s="536"/>
      <c r="AB90" s="536"/>
    </row>
    <row r="91" spans="1:28" s="280" customFormat="1" ht="11.45" customHeight="1">
      <c r="A91" s="177"/>
      <c r="C91" s="177"/>
      <c r="D91" s="175"/>
      <c r="E91" s="175"/>
      <c r="F91" s="179" t="s">
        <v>3893</v>
      </c>
      <c r="H91" s="177"/>
      <c r="I91" s="175"/>
      <c r="J91" s="177"/>
      <c r="K91" s="177"/>
      <c r="L91" s="177"/>
      <c r="M91" s="177"/>
      <c r="N91" s="177"/>
      <c r="O91" s="177"/>
      <c r="P91" s="175"/>
      <c r="Q91" s="3740">
        <v>1500</v>
      </c>
      <c r="R91" s="3741"/>
      <c r="S91" s="292"/>
      <c r="T91" s="292"/>
      <c r="U91" s="292"/>
      <c r="AA91" s="536"/>
      <c r="AB91" s="536"/>
    </row>
    <row r="92" spans="1:28" s="280" customFormat="1" ht="11.4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36"/>
      <c r="AB92" s="536"/>
    </row>
    <row r="93" spans="1:28" s="280" customFormat="1" ht="11.45" customHeight="1">
      <c r="A93" s="177"/>
      <c r="B93" s="177"/>
      <c r="C93" s="177"/>
      <c r="D93" s="175"/>
      <c r="E93" s="175"/>
      <c r="H93" s="179" t="s">
        <v>2699</v>
      </c>
      <c r="I93" s="305"/>
      <c r="J93" s="179" t="s">
        <v>1542</v>
      </c>
      <c r="K93" s="179" t="s">
        <v>3912</v>
      </c>
      <c r="L93" s="179"/>
      <c r="M93" s="179"/>
      <c r="N93" s="179"/>
      <c r="O93" s="179"/>
      <c r="P93" s="305"/>
      <c r="Q93" s="1196">
        <f>Q92</f>
        <v>800</v>
      </c>
      <c r="R93" s="1196" t="s">
        <v>1746</v>
      </c>
      <c r="S93" s="292"/>
      <c r="T93" s="292"/>
      <c r="U93" s="292"/>
      <c r="AA93" s="536"/>
      <c r="AB93" s="536"/>
    </row>
    <row r="94" spans="1:28" s="280" customFormat="1" ht="11.45" customHeight="1">
      <c r="A94" s="177"/>
      <c r="B94" s="177"/>
      <c r="C94" s="177"/>
      <c r="D94" s="175"/>
      <c r="E94" s="175"/>
      <c r="H94" s="177" t="s">
        <v>2840</v>
      </c>
      <c r="I94" s="175"/>
      <c r="J94" s="177" t="s">
        <v>2698</v>
      </c>
      <c r="K94" s="177"/>
      <c r="L94" s="177"/>
      <c r="M94" s="177"/>
      <c r="N94" s="177"/>
      <c r="O94" s="177"/>
      <c r="P94" s="175"/>
      <c r="Q94" s="291">
        <v>1500</v>
      </c>
      <c r="R94" s="291" t="s">
        <v>1746</v>
      </c>
      <c r="S94" s="292"/>
      <c r="T94" s="292"/>
      <c r="U94" s="292"/>
      <c r="AA94" s="536"/>
      <c r="AB94" s="536"/>
    </row>
    <row r="95" spans="1:28" s="280" customFormat="1" ht="11.45" customHeight="1">
      <c r="A95" s="177"/>
      <c r="B95" s="177"/>
      <c r="C95" s="177"/>
      <c r="D95" s="175"/>
      <c r="E95" s="175"/>
      <c r="H95" s="177" t="s">
        <v>4251</v>
      </c>
      <c r="I95" s="175"/>
      <c r="J95" s="177" t="s">
        <v>1776</v>
      </c>
      <c r="K95" s="177"/>
      <c r="L95" s="177"/>
      <c r="M95" s="177"/>
      <c r="N95" s="177"/>
      <c r="O95" s="177"/>
      <c r="P95" s="175"/>
      <c r="Q95" s="291">
        <v>750</v>
      </c>
      <c r="R95" s="291" t="s">
        <v>1746</v>
      </c>
      <c r="S95" s="292"/>
      <c r="T95" s="292"/>
      <c r="U95" s="292"/>
      <c r="AA95" s="536"/>
      <c r="AB95" s="536"/>
    </row>
    <row r="96" spans="1:28" s="280" customFormat="1" ht="11.45" customHeight="1">
      <c r="A96" s="177"/>
      <c r="B96" s="179"/>
      <c r="C96" s="177"/>
      <c r="D96" s="175"/>
      <c r="E96" s="175"/>
      <c r="H96" s="177" t="s">
        <v>3461</v>
      </c>
      <c r="I96" s="175"/>
      <c r="J96" s="177" t="s">
        <v>3462</v>
      </c>
      <c r="K96" s="177"/>
      <c r="L96" s="177" t="s">
        <v>2839</v>
      </c>
      <c r="M96" s="177"/>
      <c r="N96" s="177"/>
      <c r="O96" s="177"/>
      <c r="P96" s="175"/>
      <c r="Q96" s="3740">
        <v>75</v>
      </c>
      <c r="R96" s="3741"/>
      <c r="S96" s="292"/>
      <c r="T96" s="292"/>
      <c r="U96" s="292"/>
      <c r="AA96" s="536"/>
      <c r="AB96" s="536"/>
    </row>
    <row r="97" spans="1:28" s="280" customFormat="1" ht="13.5">
      <c r="A97" s="177"/>
      <c r="B97" s="177" t="s">
        <v>1876</v>
      </c>
      <c r="C97" s="177"/>
      <c r="D97" s="1212" t="s">
        <v>3981</v>
      </c>
      <c r="E97" s="175"/>
      <c r="F97" s="177"/>
      <c r="G97" s="177"/>
      <c r="H97" s="177"/>
      <c r="I97" s="175"/>
      <c r="J97" s="177" t="s">
        <v>1743</v>
      </c>
      <c r="K97" s="177"/>
      <c r="L97" s="177"/>
      <c r="M97" s="177"/>
      <c r="N97" s="177"/>
      <c r="O97" s="177"/>
      <c r="P97" s="175"/>
      <c r="Q97" s="3744">
        <v>1800000</v>
      </c>
      <c r="R97" s="3745"/>
      <c r="S97" s="292"/>
      <c r="T97" s="292"/>
      <c r="U97" s="292"/>
      <c r="AA97" s="536"/>
      <c r="AB97" s="536"/>
    </row>
    <row r="98" spans="1:28" s="280" customFormat="1" ht="13.5">
      <c r="A98" s="177"/>
      <c r="B98" s="177"/>
      <c r="C98" s="177"/>
      <c r="D98" s="175"/>
      <c r="E98" s="175"/>
      <c r="F98" s="177"/>
      <c r="G98" s="177"/>
      <c r="H98" s="177"/>
      <c r="I98" s="175"/>
      <c r="J98" s="177" t="s">
        <v>3438</v>
      </c>
      <c r="K98" s="177"/>
      <c r="L98" s="177"/>
      <c r="M98" s="177"/>
      <c r="N98" s="177"/>
      <c r="O98" s="177"/>
      <c r="P98" s="175"/>
      <c r="Q98" s="3744">
        <v>3500000</v>
      </c>
      <c r="R98" s="3745"/>
      <c r="S98" s="292"/>
      <c r="T98" s="292"/>
      <c r="U98" s="292"/>
      <c r="AA98" s="536"/>
      <c r="AB98" s="536"/>
    </row>
    <row r="99" spans="1:28" s="280" customFormat="1" ht="13.5" hidden="1">
      <c r="A99" s="177"/>
      <c r="B99" s="177"/>
      <c r="C99" s="177"/>
      <c r="D99" s="175"/>
      <c r="E99" s="175"/>
      <c r="F99" s="177" t="s">
        <v>1728</v>
      </c>
      <c r="G99" s="177"/>
      <c r="H99" s="177" t="s">
        <v>2311</v>
      </c>
      <c r="I99" s="175"/>
      <c r="J99" s="177" t="s">
        <v>984</v>
      </c>
      <c r="K99" s="177"/>
      <c r="L99" s="177"/>
      <c r="M99" s="177"/>
      <c r="N99" s="177"/>
      <c r="O99" s="177"/>
      <c r="P99" s="175"/>
      <c r="Q99" s="3742">
        <v>0.15</v>
      </c>
      <c r="R99" s="3743"/>
      <c r="S99" s="292"/>
      <c r="T99" s="292"/>
      <c r="U99" s="292"/>
      <c r="AA99" s="536"/>
      <c r="AB99" s="536"/>
    </row>
    <row r="100" spans="1:28" s="280" customFormat="1" ht="13.5" hidden="1">
      <c r="A100" s="177"/>
      <c r="B100" s="397"/>
      <c r="C100" s="177"/>
      <c r="D100" s="175"/>
      <c r="E100" s="175"/>
      <c r="F100" s="177"/>
      <c r="G100" s="177"/>
      <c r="H100" s="177" t="s">
        <v>3659</v>
      </c>
      <c r="I100" s="177" t="s">
        <v>981</v>
      </c>
      <c r="J100" s="177" t="s">
        <v>983</v>
      </c>
      <c r="K100" s="177"/>
      <c r="L100" s="177"/>
      <c r="M100" s="177"/>
      <c r="N100" s="177"/>
      <c r="O100" s="177"/>
      <c r="P100" s="175"/>
      <c r="Q100" s="3742">
        <v>0.15</v>
      </c>
      <c r="R100" s="3743"/>
      <c r="S100" s="292"/>
      <c r="T100" s="292"/>
      <c r="U100" s="292"/>
      <c r="AA100" s="536"/>
      <c r="AB100" s="536"/>
    </row>
    <row r="101" spans="1:28" s="280" customFormat="1" ht="13.5" hidden="1">
      <c r="A101" s="177"/>
      <c r="B101" s="397"/>
      <c r="C101" s="177"/>
      <c r="D101" s="175"/>
      <c r="E101" s="175"/>
      <c r="F101" s="177"/>
      <c r="G101" s="177"/>
      <c r="H101" s="177"/>
      <c r="I101" s="177" t="s">
        <v>982</v>
      </c>
      <c r="J101" s="177" t="s">
        <v>985</v>
      </c>
      <c r="K101" s="177"/>
      <c r="L101" s="177"/>
      <c r="M101" s="177"/>
      <c r="N101" s="177"/>
      <c r="O101" s="177"/>
      <c r="P101" s="175"/>
      <c r="Q101" s="3742">
        <v>0.15</v>
      </c>
      <c r="R101" s="3743"/>
      <c r="S101" s="292"/>
      <c r="T101" s="292"/>
      <c r="U101" s="292"/>
      <c r="AA101" s="536"/>
      <c r="AB101" s="536"/>
    </row>
    <row r="102" spans="1:28" s="280" customFormat="1" ht="13.5" hidden="1">
      <c r="A102" s="177"/>
      <c r="B102" s="397"/>
      <c r="C102" s="177"/>
      <c r="D102" s="175"/>
      <c r="E102" s="175"/>
      <c r="F102" s="177"/>
      <c r="G102" s="177"/>
      <c r="H102" s="177" t="s">
        <v>980</v>
      </c>
      <c r="I102" s="175"/>
      <c r="J102" s="177" t="s">
        <v>985</v>
      </c>
      <c r="K102" s="177"/>
      <c r="L102" s="177"/>
      <c r="M102" s="177"/>
      <c r="N102" s="177"/>
      <c r="O102" s="177"/>
      <c r="P102" s="175"/>
      <c r="Q102" s="3742">
        <v>0.15</v>
      </c>
      <c r="R102" s="3743"/>
      <c r="S102" s="292"/>
      <c r="T102" s="292"/>
      <c r="U102" s="292"/>
      <c r="AA102" s="536"/>
      <c r="AB102" s="536"/>
    </row>
    <row r="103" spans="1:28" s="280" customFormat="1" ht="13.5" hidden="1">
      <c r="A103" s="177"/>
      <c r="B103" s="397"/>
      <c r="C103" s="177"/>
      <c r="D103" s="175"/>
      <c r="E103" s="175"/>
      <c r="F103" s="177"/>
      <c r="G103" s="177"/>
      <c r="H103" s="177"/>
      <c r="I103" s="177" t="s">
        <v>986</v>
      </c>
      <c r="J103" s="177" t="s">
        <v>987</v>
      </c>
      <c r="K103" s="177"/>
      <c r="L103" s="177"/>
      <c r="M103" s="177"/>
      <c r="N103" s="177"/>
      <c r="O103" s="177"/>
      <c r="P103" s="175"/>
      <c r="Q103" s="3742">
        <v>0.15</v>
      </c>
      <c r="R103" s="3743"/>
      <c r="S103" s="292"/>
      <c r="T103" s="292"/>
      <c r="U103" s="292"/>
      <c r="AA103" s="536"/>
      <c r="AB103" s="536"/>
    </row>
    <row r="104" spans="1:28" s="280" customFormat="1" ht="13.5" hidden="1">
      <c r="A104" s="177"/>
      <c r="B104" s="397"/>
      <c r="C104" s="177"/>
      <c r="D104" s="175"/>
      <c r="E104" s="175"/>
      <c r="F104" s="177" t="s">
        <v>1772</v>
      </c>
      <c r="G104" s="177"/>
      <c r="H104" s="177"/>
      <c r="I104" s="175"/>
      <c r="J104" s="177" t="s">
        <v>2387</v>
      </c>
      <c r="K104" s="177"/>
      <c r="L104" s="177"/>
      <c r="M104" s="177"/>
      <c r="N104" s="177"/>
      <c r="O104" s="177"/>
      <c r="P104" s="175"/>
      <c r="Q104" s="3742">
        <v>0.15</v>
      </c>
      <c r="R104" s="3743"/>
      <c r="S104" s="292"/>
      <c r="T104" s="292"/>
      <c r="U104" s="292"/>
      <c r="AA104" s="536"/>
      <c r="AB104" s="536"/>
    </row>
    <row r="105" spans="1:28" s="280" customFormat="1" ht="13.5" hidden="1">
      <c r="A105" s="177"/>
      <c r="B105" s="397"/>
      <c r="C105" s="177"/>
      <c r="D105" s="175"/>
      <c r="E105" s="175"/>
      <c r="G105" s="177"/>
      <c r="H105" s="177"/>
      <c r="I105" s="175"/>
      <c r="J105" s="177" t="s">
        <v>2388</v>
      </c>
      <c r="K105" s="177"/>
      <c r="L105" s="177"/>
      <c r="M105" s="177"/>
      <c r="N105" s="177"/>
      <c r="O105" s="177"/>
      <c r="P105" s="175"/>
      <c r="Q105" s="3742" t="s">
        <v>2389</v>
      </c>
      <c r="R105" s="3743"/>
      <c r="S105" s="292"/>
      <c r="T105" s="292"/>
      <c r="U105" s="292"/>
      <c r="AA105" s="536"/>
      <c r="AB105" s="536"/>
    </row>
    <row r="106" spans="1:28" s="280" customFormat="1" ht="13.5">
      <c r="A106" s="177"/>
      <c r="B106" s="397"/>
      <c r="C106" s="177"/>
      <c r="D106" s="175"/>
      <c r="E106" s="175"/>
      <c r="F106" s="177" t="s">
        <v>2049</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2048</v>
      </c>
      <c r="G107" s="177"/>
      <c r="I107" s="175"/>
      <c r="J107" s="177"/>
      <c r="K107" s="177"/>
      <c r="L107" s="177"/>
      <c r="M107" s="177"/>
      <c r="N107" s="177"/>
      <c r="O107" s="177"/>
      <c r="P107" s="175"/>
      <c r="Q107" s="1611">
        <v>0</v>
      </c>
      <c r="R107" s="1611">
        <v>0.5</v>
      </c>
      <c r="S107" s="292"/>
      <c r="T107" s="292"/>
      <c r="U107" s="292"/>
      <c r="AA107" s="536"/>
      <c r="AB107" s="536"/>
    </row>
    <row r="108" spans="1:28" s="280" customFormat="1" ht="11.4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36"/>
      <c r="AB108" s="536"/>
    </row>
    <row r="109" spans="1:28" s="280" customFormat="1" ht="11.4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36"/>
      <c r="AB109" s="536"/>
    </row>
    <row r="110" spans="1:28" s="280" customFormat="1" ht="11.45" customHeight="1">
      <c r="A110" s="177"/>
      <c r="B110" s="399" t="s">
        <v>2050</v>
      </c>
      <c r="C110" s="177"/>
      <c r="D110" s="175"/>
      <c r="E110" s="175"/>
      <c r="F110" s="177"/>
      <c r="G110" s="177"/>
      <c r="I110" s="175"/>
      <c r="J110" s="177" t="s">
        <v>2051</v>
      </c>
      <c r="K110" s="177"/>
      <c r="L110" s="177"/>
      <c r="M110" s="177"/>
      <c r="N110" s="177"/>
      <c r="O110" s="177"/>
      <c r="P110" s="175"/>
      <c r="Q110" s="293">
        <v>3</v>
      </c>
      <c r="R110" s="291" t="s">
        <v>1746</v>
      </c>
      <c r="S110" s="292"/>
      <c r="T110" s="292"/>
      <c r="U110" s="292"/>
      <c r="AA110" s="536"/>
      <c r="AB110" s="536"/>
    </row>
    <row r="111" spans="1:28" s="280" customFormat="1" ht="11.45" customHeight="1">
      <c r="A111" s="177"/>
      <c r="B111" s="179" t="s">
        <v>3503</v>
      </c>
      <c r="C111" s="177"/>
      <c r="D111" s="175"/>
      <c r="E111" s="177"/>
      <c r="F111" s="177"/>
      <c r="G111" s="177"/>
      <c r="H111" s="175"/>
      <c r="I111" s="175"/>
      <c r="J111" s="177" t="s">
        <v>1776</v>
      </c>
      <c r="K111" s="177"/>
      <c r="L111" s="177"/>
      <c r="M111" s="177"/>
      <c r="N111" s="177"/>
      <c r="O111" s="177"/>
      <c r="P111" s="175"/>
      <c r="Q111" s="3740">
        <v>3000</v>
      </c>
      <c r="R111" s="3741"/>
      <c r="S111" s="292"/>
      <c r="T111" s="292"/>
      <c r="U111" s="292"/>
      <c r="AA111" s="536"/>
      <c r="AB111" s="536"/>
    </row>
    <row r="112" spans="1:28" s="280" customFormat="1" ht="11.45" customHeight="1">
      <c r="A112" s="177"/>
      <c r="B112" s="177"/>
      <c r="C112" s="177"/>
      <c r="D112" s="175"/>
      <c r="E112" s="175"/>
      <c r="O112" s="177"/>
      <c r="T112" s="286"/>
      <c r="U112" s="175"/>
      <c r="V112" s="1056"/>
      <c r="W112" s="1056"/>
      <c r="X112" s="1056"/>
      <c r="AA112" s="536"/>
      <c r="AB112" s="536"/>
    </row>
    <row r="113" spans="1:28" s="280" customFormat="1" ht="11.4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3064</v>
      </c>
      <c r="R113" s="178" t="s">
        <v>1743</v>
      </c>
      <c r="S113" s="301"/>
      <c r="T113" s="286"/>
      <c r="U113" s="175"/>
      <c r="V113" s="1056"/>
      <c r="W113" s="1056"/>
      <c r="X113" s="1056"/>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45" customHeight="1">
      <c r="B117" s="294" t="s">
        <v>2427</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1778</v>
      </c>
      <c r="C119" s="177"/>
      <c r="D119" s="177"/>
      <c r="E119" s="177"/>
      <c r="F119" s="177"/>
      <c r="G119" s="177"/>
      <c r="H119" s="177"/>
      <c r="J119" s="177" t="s">
        <v>1779</v>
      </c>
      <c r="K119" s="177"/>
      <c r="L119" s="177"/>
      <c r="M119" s="177"/>
      <c r="N119" s="177"/>
      <c r="O119" s="177"/>
      <c r="Q119" s="3733">
        <v>0.02</v>
      </c>
      <c r="R119" s="3733"/>
      <c r="AA119" s="536"/>
      <c r="AB119" s="536"/>
    </row>
    <row r="120" spans="1:28" s="292" customFormat="1" ht="11.45" customHeight="1">
      <c r="A120" s="177"/>
      <c r="B120" s="177" t="s">
        <v>1780</v>
      </c>
      <c r="C120" s="177"/>
      <c r="D120" s="177"/>
      <c r="E120" s="177"/>
      <c r="F120" s="177"/>
      <c r="G120" s="177"/>
      <c r="H120" s="177"/>
      <c r="J120" s="177" t="s">
        <v>1779</v>
      </c>
      <c r="K120" s="177"/>
      <c r="L120" s="177"/>
      <c r="M120" s="177"/>
      <c r="N120" s="177"/>
      <c r="O120" s="177"/>
      <c r="Q120" s="3733">
        <v>7.0000000000000007E-2</v>
      </c>
      <c r="R120" s="3733"/>
      <c r="AA120" s="536"/>
      <c r="AB120" s="536"/>
    </row>
    <row r="121" spans="1:28" s="292" customFormat="1" ht="11.45" customHeight="1">
      <c r="A121" s="177"/>
      <c r="B121" s="177" t="s">
        <v>1781</v>
      </c>
      <c r="C121" s="177"/>
      <c r="D121" s="177"/>
      <c r="E121" s="177"/>
      <c r="F121" s="177"/>
      <c r="G121" s="177"/>
      <c r="H121" s="177"/>
      <c r="J121" s="177" t="s">
        <v>1779</v>
      </c>
      <c r="K121" s="177"/>
      <c r="L121" s="177"/>
      <c r="M121" s="177"/>
      <c r="N121" s="177"/>
      <c r="O121" s="177"/>
      <c r="Q121" s="3733">
        <v>7.0000000000000007E-2</v>
      </c>
      <c r="R121" s="3733"/>
      <c r="AA121" s="536"/>
      <c r="AB121" s="536"/>
    </row>
    <row r="122" spans="1:28" s="280" customFormat="1" ht="11.45" customHeight="1">
      <c r="A122" s="177"/>
      <c r="B122" s="177" t="s">
        <v>135</v>
      </c>
      <c r="C122" s="177"/>
      <c r="D122" s="175"/>
      <c r="E122" s="175"/>
      <c r="F122" s="175"/>
      <c r="G122" s="177"/>
      <c r="H122" s="175"/>
      <c r="I122" s="175"/>
      <c r="J122" s="177" t="s">
        <v>1779</v>
      </c>
      <c r="K122" s="177"/>
      <c r="L122" s="177"/>
      <c r="M122" s="177"/>
      <c r="N122" s="177"/>
      <c r="O122" s="177"/>
      <c r="P122" s="175"/>
      <c r="Q122" s="3733">
        <v>0.03</v>
      </c>
      <c r="R122" s="3733"/>
      <c r="S122" s="292"/>
      <c r="T122" s="292"/>
      <c r="U122" s="292"/>
      <c r="AA122" s="536"/>
      <c r="AB122" s="536"/>
    </row>
    <row r="123" spans="1:28" s="280" customFormat="1" ht="11.45" customHeight="1">
      <c r="A123" s="177"/>
      <c r="B123" s="177" t="s">
        <v>136</v>
      </c>
      <c r="C123" s="177"/>
      <c r="D123" s="175"/>
      <c r="E123" s="175"/>
      <c r="F123" s="175"/>
      <c r="G123" s="177"/>
      <c r="H123" s="175"/>
      <c r="I123" s="175"/>
      <c r="J123" s="177" t="s">
        <v>1779</v>
      </c>
      <c r="K123" s="177"/>
      <c r="L123" s="177"/>
      <c r="M123" s="177"/>
      <c r="N123" s="177"/>
      <c r="O123" s="177"/>
      <c r="P123" s="175"/>
      <c r="Q123" s="3733">
        <v>0.03</v>
      </c>
      <c r="R123" s="3733"/>
      <c r="S123" s="292"/>
      <c r="T123" s="292"/>
      <c r="U123" s="292"/>
      <c r="AA123" s="536"/>
      <c r="AB123" s="536"/>
    </row>
    <row r="124" spans="1:28" s="280" customFormat="1" ht="11.45" customHeight="1">
      <c r="A124" s="177"/>
      <c r="B124" s="177" t="s">
        <v>137</v>
      </c>
      <c r="C124" s="177"/>
      <c r="D124" s="175"/>
      <c r="E124" s="175"/>
      <c r="F124" s="175"/>
      <c r="G124" s="177"/>
      <c r="H124" s="175"/>
      <c r="I124" s="175"/>
      <c r="J124" s="177" t="s">
        <v>1779</v>
      </c>
      <c r="K124" s="177"/>
      <c r="L124" s="177"/>
      <c r="M124" s="177"/>
      <c r="N124" s="177"/>
      <c r="O124" s="177"/>
      <c r="P124" s="175"/>
      <c r="Q124" s="3733">
        <v>0</v>
      </c>
      <c r="R124" s="3733"/>
      <c r="S124" s="292"/>
      <c r="T124" s="292"/>
      <c r="U124" s="292"/>
      <c r="AA124" s="536"/>
      <c r="AB124" s="536"/>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45" customHeight="1">
      <c r="A126" s="285" t="s">
        <v>2695</v>
      </c>
      <c r="B126" s="177"/>
      <c r="C126" s="177"/>
      <c r="D126" s="175"/>
      <c r="E126" s="175"/>
      <c r="F126" s="177" t="s">
        <v>513</v>
      </c>
      <c r="G126" s="177"/>
      <c r="H126" s="177" t="s">
        <v>2617</v>
      </c>
      <c r="I126" s="175"/>
      <c r="J126" s="177" t="s">
        <v>2697</v>
      </c>
      <c r="K126" s="177"/>
      <c r="L126" s="177"/>
      <c r="M126" s="177"/>
      <c r="N126" s="177"/>
      <c r="O126" s="177"/>
      <c r="P126" s="175"/>
      <c r="Q126" s="3733">
        <v>0.1</v>
      </c>
      <c r="R126" s="3733"/>
      <c r="S126" s="175"/>
      <c r="T126" s="175"/>
      <c r="U126" s="175"/>
      <c r="V126" s="1001"/>
      <c r="W126" s="1001"/>
      <c r="X126" s="178"/>
      <c r="AA126" s="536"/>
      <c r="AB126" s="536"/>
    </row>
    <row r="127" spans="1:28" s="280" customFormat="1" ht="11.45" customHeight="1">
      <c r="A127" s="285"/>
      <c r="B127" s="177"/>
      <c r="C127" s="177"/>
      <c r="D127" s="175"/>
      <c r="E127" s="175"/>
      <c r="F127" s="177"/>
      <c r="G127" s="177"/>
      <c r="H127" s="177" t="s">
        <v>3928</v>
      </c>
      <c r="I127" s="175"/>
      <c r="J127" s="177" t="s">
        <v>3929</v>
      </c>
      <c r="K127" s="177"/>
      <c r="L127" s="177"/>
      <c r="M127" s="177"/>
      <c r="N127" s="177"/>
      <c r="O127" s="177"/>
      <c r="P127" s="175"/>
      <c r="Q127" s="3732">
        <v>1000000</v>
      </c>
      <c r="R127" s="3732"/>
      <c r="S127" s="175"/>
      <c r="T127" s="175"/>
      <c r="U127" s="175"/>
      <c r="V127" s="1001"/>
      <c r="W127" s="1001"/>
      <c r="X127" s="178"/>
      <c r="AA127" s="536"/>
      <c r="AB127" s="536"/>
    </row>
    <row r="128" spans="1:28" s="280" customFormat="1" ht="11.45" customHeight="1">
      <c r="A128" s="177"/>
      <c r="B128" s="177"/>
      <c r="C128" s="177"/>
      <c r="D128" s="175"/>
      <c r="E128" s="175"/>
      <c r="F128" s="177"/>
      <c r="G128" s="177"/>
      <c r="H128" s="177" t="s">
        <v>3922</v>
      </c>
      <c r="I128" s="175"/>
      <c r="J128" s="177" t="s">
        <v>3930</v>
      </c>
      <c r="K128" s="177"/>
      <c r="L128" s="177"/>
      <c r="M128" s="177"/>
      <c r="N128" s="177"/>
      <c r="O128" s="177"/>
      <c r="P128" s="175"/>
      <c r="Q128" s="3732">
        <v>1500000</v>
      </c>
      <c r="R128" s="3732"/>
      <c r="S128" s="286"/>
      <c r="T128" s="286"/>
      <c r="U128" s="175"/>
      <c r="V128" s="1056"/>
      <c r="W128" s="1056"/>
      <c r="X128" s="1056"/>
      <c r="AA128" s="536"/>
      <c r="AB128" s="536"/>
    </row>
    <row r="129" spans="1:28" s="280" customFormat="1" ht="11.45" customHeight="1">
      <c r="A129" s="177"/>
      <c r="B129" s="177"/>
      <c r="C129" s="177"/>
      <c r="D129" s="175"/>
      <c r="E129" s="175"/>
      <c r="F129" s="177"/>
      <c r="G129" s="177"/>
      <c r="H129" s="177"/>
      <c r="I129" s="175"/>
      <c r="J129" s="177" t="s">
        <v>3931</v>
      </c>
      <c r="K129" s="177"/>
      <c r="L129" s="177"/>
      <c r="M129" s="177"/>
      <c r="N129" s="177"/>
      <c r="O129" s="177"/>
      <c r="P129" s="175"/>
      <c r="Q129" s="3732">
        <v>375000</v>
      </c>
      <c r="R129" s="3732"/>
      <c r="S129" s="286"/>
      <c r="T129" s="286"/>
      <c r="U129" s="175"/>
      <c r="V129" s="1056"/>
      <c r="W129" s="1056"/>
      <c r="X129" s="1056"/>
      <c r="AA129" s="536"/>
      <c r="AB129" s="536"/>
    </row>
    <row r="130" spans="1:28" s="280" customFormat="1" ht="11.45" customHeight="1">
      <c r="A130" s="177"/>
      <c r="B130" s="177"/>
      <c r="C130" s="177"/>
      <c r="D130" s="175"/>
      <c r="E130" s="175"/>
      <c r="F130" s="177" t="s">
        <v>2425</v>
      </c>
      <c r="G130" s="177"/>
      <c r="H130" s="177" t="s">
        <v>2696</v>
      </c>
      <c r="I130" s="175"/>
      <c r="J130" s="177" t="s">
        <v>3977</v>
      </c>
      <c r="K130" s="177"/>
      <c r="L130" s="177"/>
      <c r="M130" s="177"/>
      <c r="N130" s="177"/>
      <c r="O130" s="177"/>
      <c r="P130" s="175"/>
      <c r="Q130" s="3732">
        <v>4000000</v>
      </c>
      <c r="R130" s="3732"/>
      <c r="S130" s="286"/>
      <c r="T130" s="286"/>
      <c r="U130" s="175"/>
      <c r="V130" s="1056"/>
      <c r="W130" s="1056"/>
      <c r="X130" s="1056"/>
      <c r="AA130" s="536"/>
      <c r="AB130" s="536"/>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6"/>
      <c r="W131" s="1056"/>
      <c r="X131" s="1056"/>
      <c r="AA131" s="536"/>
      <c r="AB131" s="536"/>
    </row>
    <row r="132" spans="1:28" ht="4.5" customHeight="1"/>
    <row r="133" spans="1:28">
      <c r="A133" s="285" t="s">
        <v>2836</v>
      </c>
      <c r="F133" s="177" t="s">
        <v>2616</v>
      </c>
      <c r="G133" s="177"/>
      <c r="H133" s="175"/>
      <c r="I133" s="175"/>
      <c r="J133" s="177" t="s">
        <v>2697</v>
      </c>
      <c r="K133" s="177"/>
      <c r="L133" s="177"/>
      <c r="M133" s="177"/>
      <c r="N133" s="177"/>
      <c r="O133" s="177"/>
      <c r="P133" s="175"/>
      <c r="Q133" s="3733">
        <v>0.35</v>
      </c>
      <c r="R133" s="3733"/>
    </row>
    <row r="134" spans="1:28" s="280" customFormat="1" ht="12.75" customHeight="1">
      <c r="A134" s="285"/>
      <c r="B134" s="177"/>
      <c r="C134" s="177"/>
      <c r="D134" s="175"/>
      <c r="E134" s="175"/>
      <c r="F134" s="177" t="s">
        <v>2837</v>
      </c>
      <c r="G134" s="177"/>
      <c r="H134" s="175"/>
      <c r="I134" s="175"/>
      <c r="J134" s="177" t="s">
        <v>2697</v>
      </c>
      <c r="K134" s="177"/>
      <c r="L134" s="177"/>
      <c r="M134" s="177"/>
      <c r="N134" s="177"/>
      <c r="O134" s="177"/>
      <c r="P134" s="175"/>
      <c r="Q134" s="3733" t="s">
        <v>2838</v>
      </c>
      <c r="R134" s="3733"/>
      <c r="S134" s="175"/>
      <c r="T134" s="175"/>
      <c r="U134" s="175"/>
      <c r="V134" s="1001"/>
      <c r="W134" s="1001"/>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1"/>
      <c r="W135" s="1001"/>
      <c r="X135" s="178"/>
      <c r="AA135" s="536"/>
      <c r="AB135" s="536"/>
    </row>
    <row r="136" spans="1:28" s="280" customFormat="1" ht="12.75" customHeight="1">
      <c r="A136" s="285" t="s">
        <v>3716</v>
      </c>
      <c r="B136" s="177"/>
      <c r="C136" s="177"/>
      <c r="D136" s="175"/>
      <c r="E136" s="175"/>
      <c r="F136" s="177" t="s">
        <v>3719</v>
      </c>
      <c r="G136" s="177"/>
      <c r="H136" s="175"/>
      <c r="I136" s="175"/>
      <c r="J136" s="177" t="s">
        <v>3720</v>
      </c>
      <c r="K136" s="177"/>
      <c r="L136" s="177"/>
      <c r="M136" s="177"/>
      <c r="N136" s="177"/>
      <c r="O136" s="177"/>
      <c r="P136" s="175"/>
      <c r="Q136" s="3733">
        <v>0.05</v>
      </c>
      <c r="R136" s="3733"/>
      <c r="S136" s="175"/>
      <c r="T136" s="175"/>
      <c r="U136" s="175"/>
      <c r="V136" s="1001"/>
      <c r="W136" s="1001"/>
      <c r="X136" s="178"/>
      <c r="AA136" s="536"/>
      <c r="AB136" s="536"/>
    </row>
    <row r="137" spans="1:28" s="280" customFormat="1" ht="12.75" customHeight="1">
      <c r="A137" s="285"/>
      <c r="B137" s="177"/>
      <c r="C137" s="177"/>
      <c r="D137" s="175"/>
      <c r="E137" s="175"/>
      <c r="F137" s="177"/>
      <c r="G137" s="177" t="s">
        <v>3717</v>
      </c>
      <c r="H137" s="175"/>
      <c r="I137" s="175"/>
      <c r="J137" s="177" t="s">
        <v>3721</v>
      </c>
      <c r="K137" s="177"/>
      <c r="L137" s="177"/>
      <c r="M137" s="177"/>
      <c r="N137" s="177"/>
      <c r="O137" s="177"/>
      <c r="P137" s="175"/>
      <c r="Q137" s="3733">
        <v>0.4</v>
      </c>
      <c r="R137" s="3733"/>
      <c r="S137" s="175"/>
      <c r="T137" s="175"/>
      <c r="U137" s="175"/>
      <c r="V137" s="1001"/>
      <c r="W137" s="1001"/>
      <c r="X137" s="178"/>
      <c r="AA137" s="536"/>
      <c r="AB137" s="536"/>
    </row>
    <row r="138" spans="1:28" s="280" customFormat="1" ht="12.75" customHeight="1">
      <c r="A138" s="285"/>
      <c r="B138" s="177"/>
      <c r="C138" s="177"/>
      <c r="D138" s="175"/>
      <c r="E138" s="175"/>
      <c r="F138" s="177" t="s">
        <v>3718</v>
      </c>
      <c r="G138" s="177"/>
      <c r="H138" s="175"/>
      <c r="I138" s="175"/>
      <c r="J138" s="177" t="s">
        <v>3720</v>
      </c>
      <c r="K138" s="177"/>
      <c r="L138" s="177"/>
      <c r="M138" s="177"/>
      <c r="N138" s="177"/>
      <c r="O138" s="177"/>
      <c r="P138" s="175"/>
      <c r="Q138" s="3733">
        <v>0.02</v>
      </c>
      <c r="R138" s="3733"/>
      <c r="S138" s="175"/>
      <c r="T138" s="175"/>
      <c r="U138" s="175"/>
      <c r="V138" s="1001"/>
      <c r="W138" s="1001"/>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1"/>
      <c r="W139" s="1001"/>
      <c r="X139" s="178"/>
      <c r="AA139" s="536"/>
      <c r="AB139" s="536"/>
    </row>
    <row r="140" spans="1:28" ht="13.15" customHeight="1">
      <c r="C140" s="177"/>
      <c r="D140" s="175"/>
      <c r="E140" s="297"/>
      <c r="F140" s="297"/>
      <c r="G140" s="297"/>
      <c r="H140" s="297"/>
      <c r="I140" s="297"/>
    </row>
    <row r="141" spans="1:28" ht="13.5">
      <c r="C141" s="177"/>
      <c r="D141" s="175"/>
      <c r="J141" s="2171" t="s">
        <v>812</v>
      </c>
      <c r="K141" s="2171"/>
      <c r="L141" s="278"/>
    </row>
    <row r="142" spans="1:28" ht="13.5">
      <c r="C142" s="177"/>
      <c r="D142" s="175"/>
      <c r="J142" s="2172" t="s">
        <v>815</v>
      </c>
      <c r="K142" s="2172" t="s">
        <v>813</v>
      </c>
      <c r="L142" s="396" t="s">
        <v>814</v>
      </c>
    </row>
    <row r="143" spans="1:28" ht="10.5" customHeight="1">
      <c r="C143" s="177"/>
      <c r="D143" s="175"/>
      <c r="E143" s="292"/>
      <c r="F143" s="292"/>
      <c r="J143" s="1056">
        <v>0</v>
      </c>
      <c r="K143" s="1056">
        <v>0.7</v>
      </c>
      <c r="L143" s="1056">
        <v>1</v>
      </c>
    </row>
    <row r="144" spans="1:28" ht="10.5" customHeight="1">
      <c r="C144" s="297"/>
      <c r="D144" s="297"/>
      <c r="E144" s="292"/>
      <c r="F144" s="292"/>
      <c r="J144" s="1056">
        <v>1</v>
      </c>
      <c r="K144" s="1056">
        <v>0.75</v>
      </c>
      <c r="L144" s="1056">
        <v>1.5</v>
      </c>
    </row>
    <row r="145" spans="2:30" ht="10.5" customHeight="1">
      <c r="C145" s="297"/>
      <c r="D145" s="297"/>
      <c r="E145" s="292"/>
      <c r="F145" s="292"/>
      <c r="J145" s="1056">
        <v>2</v>
      </c>
      <c r="K145" s="1056">
        <v>0.9</v>
      </c>
      <c r="L145" s="1056">
        <v>3</v>
      </c>
    </row>
    <row r="146" spans="2:30" ht="10.5" customHeight="1">
      <c r="C146" s="297"/>
      <c r="D146" s="297"/>
      <c r="E146" s="292"/>
      <c r="F146" s="292"/>
      <c r="J146" s="1056">
        <v>3</v>
      </c>
      <c r="K146" s="1056">
        <v>1.04</v>
      </c>
      <c r="L146" s="1056">
        <v>4.5</v>
      </c>
    </row>
    <row r="147" spans="2:30" ht="10.5" customHeight="1">
      <c r="C147" s="297"/>
      <c r="D147" s="297"/>
      <c r="E147" s="292"/>
      <c r="F147" s="292"/>
      <c r="J147" s="1056">
        <v>4</v>
      </c>
      <c r="K147" s="1056">
        <v>1.1599999999999999</v>
      </c>
      <c r="L147" s="1056">
        <v>6</v>
      </c>
    </row>
    <row r="148" spans="2:30" ht="10.5" customHeight="1">
      <c r="E148" s="292"/>
      <c r="F148" s="292"/>
      <c r="J148" s="1056">
        <v>5</v>
      </c>
      <c r="K148" s="1056">
        <v>1.28</v>
      </c>
      <c r="L148" s="1056">
        <v>7.5</v>
      </c>
    </row>
    <row r="149" spans="2:30" ht="10.5" customHeight="1">
      <c r="E149" s="292"/>
      <c r="F149" s="292"/>
      <c r="J149" s="1056"/>
      <c r="K149" s="1056"/>
      <c r="L149" s="1056"/>
    </row>
    <row r="150" spans="2:30" ht="10.5" customHeight="1">
      <c r="E150" s="292"/>
      <c r="F150" s="292"/>
      <c r="J150" s="1056"/>
      <c r="K150" s="1056"/>
      <c r="L150" s="1056"/>
    </row>
    <row r="151" spans="2:30" ht="10.5" customHeight="1">
      <c r="C151" s="3731" t="s">
        <v>4230</v>
      </c>
      <c r="E151" s="292"/>
      <c r="F151" s="292"/>
    </row>
    <row r="152" spans="2:30" ht="10.5" customHeight="1">
      <c r="C152" s="3731"/>
      <c r="E152" s="292"/>
      <c r="F152" s="292"/>
    </row>
    <row r="153" spans="2:30" ht="10.5" customHeight="1">
      <c r="C153" s="3731"/>
      <c r="D153" s="1356" t="s">
        <v>3990</v>
      </c>
      <c r="E153" s="646"/>
      <c r="F153" s="292"/>
    </row>
    <row r="154" spans="2:30" ht="39.75" customHeight="1">
      <c r="C154" s="509" t="s">
        <v>1291</v>
      </c>
      <c r="D154" s="395" t="s">
        <v>1045</v>
      </c>
      <c r="E154" s="292"/>
      <c r="F154" s="581" t="s">
        <v>1812</v>
      </c>
      <c r="G154" s="581" t="s">
        <v>1219</v>
      </c>
      <c r="H154" s="581" t="s">
        <v>1220</v>
      </c>
      <c r="I154" s="582" t="s">
        <v>1221</v>
      </c>
      <c r="J154" s="582" t="s">
        <v>1160</v>
      </c>
      <c r="K154" s="581" t="s">
        <v>427</v>
      </c>
      <c r="L154" s="583" t="s">
        <v>1167</v>
      </c>
      <c r="M154" s="583" t="s">
        <v>2785</v>
      </c>
      <c r="N154" s="583" t="s">
        <v>3920</v>
      </c>
      <c r="O154" s="583" t="s">
        <v>4349</v>
      </c>
      <c r="P154" s="581" t="s">
        <v>2418</v>
      </c>
      <c r="Q154" s="581"/>
      <c r="R154" s="177"/>
      <c r="S154" s="403"/>
      <c r="T154" s="584" t="s">
        <v>624</v>
      </c>
      <c r="U154" s="585" t="s">
        <v>625</v>
      </c>
      <c r="W154" s="617" t="s">
        <v>3409</v>
      </c>
      <c r="Z154" s="446"/>
      <c r="AA154" s="446"/>
      <c r="AB154" s="28"/>
      <c r="AC154" s="536"/>
      <c r="AD154" s="536"/>
    </row>
    <row r="155" spans="2:30" ht="10.5" customHeight="1">
      <c r="B155" s="292"/>
      <c r="C155" s="393" t="s">
        <v>1795</v>
      </c>
      <c r="D155" s="460">
        <v>47300</v>
      </c>
      <c r="E155" s="292"/>
      <c r="F155" s="292" t="s">
        <v>846</v>
      </c>
      <c r="G155" s="1079" t="s">
        <v>1222</v>
      </c>
      <c r="H155" s="1079" t="s">
        <v>1223</v>
      </c>
      <c r="I155" s="1080" t="s">
        <v>1224</v>
      </c>
      <c r="J155" s="1080" t="s">
        <v>2629</v>
      </c>
      <c r="K155" s="1081" t="s">
        <v>1168</v>
      </c>
      <c r="L155" s="1082" t="s">
        <v>425</v>
      </c>
      <c r="M155" s="2173" t="s">
        <v>2616</v>
      </c>
      <c r="N155" s="2173" t="s">
        <v>1338</v>
      </c>
      <c r="O155" s="2174" t="s">
        <v>4350</v>
      </c>
      <c r="P155" s="586" t="s">
        <v>1534</v>
      </c>
      <c r="Q155" s="301"/>
      <c r="R155" s="177"/>
      <c r="S155" s="403"/>
      <c r="T155" s="525" t="s">
        <v>2419</v>
      </c>
      <c r="U155" s="525" t="s">
        <v>1966</v>
      </c>
      <c r="W155" s="446" t="s">
        <v>2419</v>
      </c>
      <c r="X155" s="446" t="s">
        <v>3410</v>
      </c>
      <c r="Z155" s="446"/>
      <c r="AA155" s="28"/>
      <c r="AB155" s="28"/>
      <c r="AC155" s="997"/>
      <c r="AD155" s="536"/>
    </row>
    <row r="156" spans="2:30" ht="10.5" customHeight="1">
      <c r="B156" s="292"/>
      <c r="C156" s="393" t="s">
        <v>1224</v>
      </c>
      <c r="D156" s="460">
        <v>47900</v>
      </c>
      <c r="E156" s="292"/>
      <c r="F156" s="292" t="s">
        <v>847</v>
      </c>
      <c r="G156" s="1079" t="s">
        <v>1790</v>
      </c>
      <c r="H156" s="1079" t="s">
        <v>1223</v>
      </c>
      <c r="I156" s="1080" t="s">
        <v>1791</v>
      </c>
      <c r="J156" s="1080" t="s">
        <v>2629</v>
      </c>
      <c r="K156" s="1081" t="s">
        <v>1169</v>
      </c>
      <c r="L156" s="1082" t="s">
        <v>425</v>
      </c>
      <c r="M156" s="2173" t="s">
        <v>2616</v>
      </c>
      <c r="N156" s="2173" t="s">
        <v>1709</v>
      </c>
      <c r="O156" s="2174" t="s">
        <v>4351</v>
      </c>
      <c r="P156" s="586" t="s">
        <v>1536</v>
      </c>
      <c r="Q156" s="301"/>
      <c r="R156" s="177"/>
      <c r="S156" s="403"/>
      <c r="T156" s="525" t="s">
        <v>1535</v>
      </c>
      <c r="U156" s="525" t="s">
        <v>2502</v>
      </c>
      <c r="W156" s="446" t="s">
        <v>1535</v>
      </c>
      <c r="X156" s="446" t="s">
        <v>3410</v>
      </c>
      <c r="Z156" s="446"/>
      <c r="AA156" s="28"/>
      <c r="AB156" s="28"/>
      <c r="AC156" s="997"/>
      <c r="AD156" s="536"/>
    </row>
    <row r="157" spans="2:30" ht="10.5" customHeight="1">
      <c r="B157" s="292"/>
      <c r="C157" s="393" t="s">
        <v>1046</v>
      </c>
      <c r="D157" s="460">
        <v>61500</v>
      </c>
      <c r="E157" s="292"/>
      <c r="F157" s="292" t="s">
        <v>848</v>
      </c>
      <c r="G157" s="1079" t="s">
        <v>1792</v>
      </c>
      <c r="H157" s="1079" t="s">
        <v>1223</v>
      </c>
      <c r="I157" s="1080" t="s">
        <v>1793</v>
      </c>
      <c r="J157" s="1080" t="s">
        <v>2629</v>
      </c>
      <c r="K157" s="1081" t="s">
        <v>1170</v>
      </c>
      <c r="L157" s="1082" t="s">
        <v>425</v>
      </c>
      <c r="M157" s="2173" t="s">
        <v>2616</v>
      </c>
      <c r="N157" s="2173" t="s">
        <v>1709</v>
      </c>
      <c r="O157" s="2174" t="s">
        <v>4352</v>
      </c>
      <c r="P157" s="586" t="s">
        <v>466</v>
      </c>
      <c r="Q157" s="301"/>
      <c r="R157" s="177"/>
      <c r="S157" s="403"/>
      <c r="T157" s="525" t="s">
        <v>954</v>
      </c>
      <c r="U157" s="525" t="s">
        <v>1326</v>
      </c>
      <c r="W157" s="446" t="s">
        <v>954</v>
      </c>
      <c r="X157" s="446" t="s">
        <v>3410</v>
      </c>
      <c r="Z157" s="446"/>
      <c r="AA157" s="28"/>
      <c r="AB157" s="28"/>
      <c r="AC157" s="997"/>
      <c r="AD157" s="536"/>
    </row>
    <row r="158" spans="2:30" ht="10.5" customHeight="1">
      <c r="B158" s="292"/>
      <c r="C158" s="393" t="s">
        <v>1791</v>
      </c>
      <c r="D158" s="460">
        <v>38400</v>
      </c>
      <c r="E158" s="292"/>
      <c r="F158" s="292" t="s">
        <v>849</v>
      </c>
      <c r="G158" s="1079" t="s">
        <v>1794</v>
      </c>
      <c r="H158" s="1079" t="s">
        <v>1223</v>
      </c>
      <c r="I158" s="1083" t="s">
        <v>1795</v>
      </c>
      <c r="J158" s="1083" t="s">
        <v>2630</v>
      </c>
      <c r="K158" s="1081" t="s">
        <v>1171</v>
      </c>
      <c r="L158" s="1082" t="s">
        <v>426</v>
      </c>
      <c r="M158" s="2173" t="s">
        <v>1207</v>
      </c>
      <c r="N158" s="2173" t="s">
        <v>1795</v>
      </c>
      <c r="O158" s="2174" t="s">
        <v>4353</v>
      </c>
      <c r="P158" s="586" t="s">
        <v>2096</v>
      </c>
      <c r="Q158" s="301"/>
      <c r="R158" s="177"/>
      <c r="S158" s="403"/>
      <c r="T158" s="525" t="s">
        <v>467</v>
      </c>
      <c r="U158" s="525" t="s">
        <v>2546</v>
      </c>
      <c r="W158" s="446" t="s">
        <v>2097</v>
      </c>
      <c r="X158" s="446" t="s">
        <v>3410</v>
      </c>
      <c r="Z158" s="446"/>
      <c r="AA158" s="28"/>
      <c r="AB158" s="28"/>
      <c r="AC158" s="997"/>
      <c r="AD158" s="536"/>
    </row>
    <row r="159" spans="2:30" ht="10.5" customHeight="1">
      <c r="B159" s="292"/>
      <c r="C159" s="393" t="s">
        <v>772</v>
      </c>
      <c r="D159" s="460">
        <v>69700</v>
      </c>
      <c r="E159" s="292"/>
      <c r="F159" s="292" t="s">
        <v>850</v>
      </c>
      <c r="G159" s="1079" t="s">
        <v>1796</v>
      </c>
      <c r="H159" s="1079" t="s">
        <v>1323</v>
      </c>
      <c r="I159" s="1083" t="s">
        <v>157</v>
      </c>
      <c r="J159" s="1083" t="s">
        <v>2629</v>
      </c>
      <c r="K159" s="1081" t="s">
        <v>1172</v>
      </c>
      <c r="L159" s="1082" t="s">
        <v>425</v>
      </c>
      <c r="M159" s="2173" t="s">
        <v>2616</v>
      </c>
      <c r="N159" s="2173" t="s">
        <v>1332</v>
      </c>
      <c r="O159" s="2174" t="s">
        <v>4354</v>
      </c>
      <c r="P159" s="586" t="s">
        <v>2098</v>
      </c>
      <c r="Q159" s="301"/>
      <c r="R159" s="177"/>
      <c r="S159" s="403"/>
      <c r="T159" s="525" t="s">
        <v>2097</v>
      </c>
      <c r="U159" s="525" t="s">
        <v>334</v>
      </c>
      <c r="W159" s="446" t="s">
        <v>2101</v>
      </c>
      <c r="X159" s="446" t="s">
        <v>3410</v>
      </c>
      <c r="Z159" s="446"/>
      <c r="AA159" s="28"/>
      <c r="AB159" s="28"/>
      <c r="AC159" s="997"/>
      <c r="AD159" s="536"/>
    </row>
    <row r="160" spans="2:30" ht="10.5" customHeight="1">
      <c r="B160" s="292"/>
      <c r="C160" s="393" t="s">
        <v>773</v>
      </c>
      <c r="D160" s="460">
        <v>62000</v>
      </c>
      <c r="E160" s="292"/>
      <c r="F160" s="292" t="s">
        <v>851</v>
      </c>
      <c r="G160" s="1079" t="s">
        <v>1322</v>
      </c>
      <c r="H160" s="1079" t="s">
        <v>1323</v>
      </c>
      <c r="I160" s="1080" t="s">
        <v>1324</v>
      </c>
      <c r="J160" s="1080" t="s">
        <v>2629</v>
      </c>
      <c r="K160" s="1081" t="s">
        <v>1837</v>
      </c>
      <c r="L160" s="1082" t="s">
        <v>425</v>
      </c>
      <c r="M160" s="2173" t="s">
        <v>2616</v>
      </c>
      <c r="N160" s="2173" t="s">
        <v>167</v>
      </c>
      <c r="O160" s="2174" t="s">
        <v>4355</v>
      </c>
      <c r="P160" s="586" t="s">
        <v>2100</v>
      </c>
      <c r="Q160" s="301"/>
      <c r="R160" s="177"/>
      <c r="S160" s="403"/>
      <c r="T160" s="525" t="s">
        <v>2099</v>
      </c>
      <c r="U160" s="525" t="s">
        <v>185</v>
      </c>
      <c r="W160" s="446" t="s">
        <v>1795</v>
      </c>
      <c r="X160" s="446" t="s">
        <v>3410</v>
      </c>
      <c r="Z160" s="446"/>
      <c r="AA160" s="28"/>
      <c r="AB160" s="28"/>
      <c r="AC160" s="997"/>
      <c r="AD160" s="536"/>
    </row>
    <row r="161" spans="2:30" ht="10.5" customHeight="1">
      <c r="B161" s="292"/>
      <c r="C161" s="393" t="s">
        <v>1793</v>
      </c>
      <c r="D161" s="460">
        <v>50200</v>
      </c>
      <c r="E161" s="292"/>
      <c r="F161" s="292" t="s">
        <v>852</v>
      </c>
      <c r="G161" s="1079" t="s">
        <v>1325</v>
      </c>
      <c r="H161" s="1079" t="s">
        <v>1323</v>
      </c>
      <c r="I161" s="1083" t="s">
        <v>772</v>
      </c>
      <c r="J161" s="1083" t="s">
        <v>2630</v>
      </c>
      <c r="K161" s="1081" t="s">
        <v>2593</v>
      </c>
      <c r="L161" s="1082" t="s">
        <v>426</v>
      </c>
      <c r="M161" s="2173" t="s">
        <v>1207</v>
      </c>
      <c r="N161" s="2173" t="s">
        <v>1217</v>
      </c>
      <c r="O161" s="2174" t="s">
        <v>4356</v>
      </c>
      <c r="P161" s="586" t="s">
        <v>2102</v>
      </c>
      <c r="Q161" s="301"/>
      <c r="R161" s="177"/>
      <c r="S161" s="403"/>
      <c r="T161" s="525" t="s">
        <v>2101</v>
      </c>
      <c r="U161" s="525" t="s">
        <v>113</v>
      </c>
      <c r="W161" s="446" t="s">
        <v>448</v>
      </c>
      <c r="X161" s="446" t="s">
        <v>3410</v>
      </c>
      <c r="Z161" s="446"/>
      <c r="AA161" s="28"/>
      <c r="AB161" s="28"/>
      <c r="AC161" s="997"/>
      <c r="AD161" s="536"/>
    </row>
    <row r="162" spans="2:30" ht="10.5" customHeight="1">
      <c r="B162" s="292"/>
      <c r="C162" s="393" t="s">
        <v>157</v>
      </c>
      <c r="D162" s="460">
        <v>49200</v>
      </c>
      <c r="E162" s="292"/>
      <c r="F162" s="292" t="s">
        <v>853</v>
      </c>
      <c r="G162" s="1079" t="s">
        <v>1326</v>
      </c>
      <c r="H162" s="1079" t="s">
        <v>1323</v>
      </c>
      <c r="I162" s="1083" t="s">
        <v>772</v>
      </c>
      <c r="J162" s="1083" t="s">
        <v>2630</v>
      </c>
      <c r="K162" s="1081" t="s">
        <v>2593</v>
      </c>
      <c r="L162" s="1082" t="s">
        <v>426</v>
      </c>
      <c r="M162" s="2173" t="s">
        <v>1207</v>
      </c>
      <c r="N162" s="2173" t="s">
        <v>1217</v>
      </c>
      <c r="O162" s="2174" t="s">
        <v>4357</v>
      </c>
      <c r="P162" s="586" t="s">
        <v>2104</v>
      </c>
      <c r="Q162" s="301"/>
      <c r="R162" s="177"/>
      <c r="S162" s="403"/>
      <c r="T162" s="525" t="s">
        <v>2103</v>
      </c>
      <c r="U162" s="525" t="s">
        <v>1329</v>
      </c>
      <c r="W162" s="446" t="s">
        <v>450</v>
      </c>
      <c r="X162" s="446" t="s">
        <v>3410</v>
      </c>
      <c r="Z162" s="446"/>
      <c r="AA162" s="28"/>
      <c r="AB162" s="28"/>
      <c r="AC162" s="997"/>
      <c r="AD162" s="536"/>
    </row>
    <row r="163" spans="2:30" ht="10.5" customHeight="1">
      <c r="B163" s="292"/>
      <c r="C163" s="393" t="s">
        <v>1324</v>
      </c>
      <c r="D163" s="460">
        <v>54000</v>
      </c>
      <c r="E163" s="292"/>
      <c r="F163" s="292" t="s">
        <v>854</v>
      </c>
      <c r="G163" s="1079" t="s">
        <v>1327</v>
      </c>
      <c r="H163" s="1079" t="s">
        <v>1223</v>
      </c>
      <c r="I163" s="1080" t="s">
        <v>1328</v>
      </c>
      <c r="J163" s="1080" t="s">
        <v>2629</v>
      </c>
      <c r="K163" s="1081" t="s">
        <v>2594</v>
      </c>
      <c r="L163" s="1082" t="s">
        <v>425</v>
      </c>
      <c r="M163" s="2173" t="s">
        <v>2616</v>
      </c>
      <c r="N163" s="2173" t="s">
        <v>1795</v>
      </c>
      <c r="O163" s="2174" t="s">
        <v>4358</v>
      </c>
      <c r="P163" s="586" t="s">
        <v>1978</v>
      </c>
      <c r="Q163" s="546"/>
      <c r="R163" s="177"/>
      <c r="S163" s="403"/>
      <c r="T163" s="525" t="s">
        <v>1795</v>
      </c>
      <c r="U163" s="525" t="s">
        <v>964</v>
      </c>
      <c r="W163" s="446" t="s">
        <v>1862</v>
      </c>
      <c r="X163" s="446" t="s">
        <v>3410</v>
      </c>
      <c r="Z163" s="446"/>
      <c r="AA163" s="28"/>
      <c r="AB163" s="28"/>
      <c r="AC163" s="997"/>
      <c r="AD163" s="536"/>
    </row>
    <row r="164" spans="2:30" ht="10.5" customHeight="1">
      <c r="B164" s="292"/>
      <c r="C164" s="394" t="s">
        <v>1049</v>
      </c>
      <c r="D164" s="460">
        <v>37900</v>
      </c>
      <c r="E164" s="292"/>
      <c r="F164" s="292" t="s">
        <v>855</v>
      </c>
      <c r="G164" s="1079" t="s">
        <v>1329</v>
      </c>
      <c r="H164" s="1079" t="s">
        <v>1223</v>
      </c>
      <c r="I164" s="1080" t="s">
        <v>1330</v>
      </c>
      <c r="J164" s="1080" t="s">
        <v>2629</v>
      </c>
      <c r="K164" s="1081" t="s">
        <v>2595</v>
      </c>
      <c r="L164" s="1082" t="s">
        <v>425</v>
      </c>
      <c r="M164" s="2173" t="s">
        <v>2616</v>
      </c>
      <c r="N164" s="2173" t="s">
        <v>1709</v>
      </c>
      <c r="O164" s="2174" t="s">
        <v>4359</v>
      </c>
      <c r="P164" s="586" t="s">
        <v>181</v>
      </c>
      <c r="Q164" s="546"/>
      <c r="R164" s="292"/>
      <c r="S164" s="403"/>
      <c r="T164" s="525" t="s">
        <v>1979</v>
      </c>
      <c r="U164" s="525" t="s">
        <v>431</v>
      </c>
      <c r="W164" s="446" t="s">
        <v>2565</v>
      </c>
      <c r="X164" s="446" t="s">
        <v>3410</v>
      </c>
      <c r="Z164" s="446"/>
      <c r="AA164" s="28"/>
      <c r="AB164" s="28"/>
      <c r="AC164" s="997"/>
      <c r="AD164" s="536"/>
    </row>
    <row r="165" spans="2:30" ht="10.5" customHeight="1">
      <c r="B165" s="292"/>
      <c r="C165" s="394" t="s">
        <v>1330</v>
      </c>
      <c r="D165" s="460">
        <v>43500</v>
      </c>
      <c r="E165" s="292"/>
      <c r="F165" s="292" t="s">
        <v>856</v>
      </c>
      <c r="G165" s="1079" t="s">
        <v>1331</v>
      </c>
      <c r="H165" s="1079" t="s">
        <v>1323</v>
      </c>
      <c r="I165" s="1083" t="s">
        <v>1332</v>
      </c>
      <c r="J165" s="1083" t="s">
        <v>2630</v>
      </c>
      <c r="K165" s="1081" t="s">
        <v>2596</v>
      </c>
      <c r="L165" s="1082" t="s">
        <v>426</v>
      </c>
      <c r="M165" s="2173" t="s">
        <v>1207</v>
      </c>
      <c r="N165" s="2173" t="s">
        <v>1332</v>
      </c>
      <c r="O165" s="2174" t="s">
        <v>4360</v>
      </c>
      <c r="P165" s="586" t="s">
        <v>183</v>
      </c>
      <c r="Q165" s="546"/>
      <c r="R165" s="177"/>
      <c r="S165" s="403"/>
      <c r="T165" s="525" t="s">
        <v>182</v>
      </c>
      <c r="U165" s="525" t="s">
        <v>1468</v>
      </c>
      <c r="W165" s="446" t="s">
        <v>2571</v>
      </c>
      <c r="X165" s="446" t="s">
        <v>3410</v>
      </c>
      <c r="Z165" s="446"/>
      <c r="AA165" s="28"/>
      <c r="AB165" s="28"/>
      <c r="AC165" s="997"/>
      <c r="AD165" s="536"/>
    </row>
    <row r="166" spans="2:30" ht="10.5" customHeight="1">
      <c r="B166" s="292"/>
      <c r="C166" s="394" t="s">
        <v>1334</v>
      </c>
      <c r="D166" s="460">
        <v>48400</v>
      </c>
      <c r="E166" s="292"/>
      <c r="F166" s="292" t="s">
        <v>857</v>
      </c>
      <c r="G166" s="1079" t="s">
        <v>1333</v>
      </c>
      <c r="H166" s="1079" t="s">
        <v>1323</v>
      </c>
      <c r="I166" s="1083" t="s">
        <v>1334</v>
      </c>
      <c r="J166" s="1083" t="s">
        <v>2629</v>
      </c>
      <c r="K166" s="1081" t="s">
        <v>2597</v>
      </c>
      <c r="L166" s="1082" t="s">
        <v>425</v>
      </c>
      <c r="M166" s="2173" t="s">
        <v>2616</v>
      </c>
      <c r="N166" s="2173" t="s">
        <v>1332</v>
      </c>
      <c r="O166" s="2174" t="s">
        <v>4361</v>
      </c>
      <c r="P166" s="586" t="s">
        <v>447</v>
      </c>
      <c r="Q166" s="301"/>
      <c r="R166" s="177"/>
      <c r="S166" s="403"/>
      <c r="T166" s="525" t="s">
        <v>184</v>
      </c>
      <c r="U166" s="525" t="s">
        <v>2415</v>
      </c>
      <c r="W166" s="446" t="s">
        <v>2576</v>
      </c>
      <c r="X166" s="446" t="s">
        <v>3410</v>
      </c>
      <c r="Z166" s="446"/>
      <c r="AA166" s="28"/>
      <c r="AB166" s="28"/>
      <c r="AC166" s="997"/>
      <c r="AD166" s="536"/>
    </row>
    <row r="167" spans="2:30" ht="10.5" customHeight="1">
      <c r="B167" s="292"/>
      <c r="C167" s="393" t="s">
        <v>11</v>
      </c>
      <c r="D167" s="460">
        <v>54900</v>
      </c>
      <c r="E167" s="292"/>
      <c r="F167" s="292" t="s">
        <v>858</v>
      </c>
      <c r="G167" s="1079" t="s">
        <v>1335</v>
      </c>
      <c r="H167" s="1079" t="s">
        <v>1223</v>
      </c>
      <c r="I167" s="1080" t="s">
        <v>11</v>
      </c>
      <c r="J167" s="1080" t="s">
        <v>2630</v>
      </c>
      <c r="K167" s="1081" t="s">
        <v>2598</v>
      </c>
      <c r="L167" s="1082" t="s">
        <v>426</v>
      </c>
      <c r="M167" s="2173" t="s">
        <v>1207</v>
      </c>
      <c r="N167" s="2173" t="s">
        <v>1709</v>
      </c>
      <c r="O167" s="2174" t="s">
        <v>4362</v>
      </c>
      <c r="P167" s="586" t="s">
        <v>449</v>
      </c>
      <c r="Q167" s="301"/>
      <c r="R167" s="177"/>
      <c r="S167" s="403"/>
      <c r="T167" s="525" t="s">
        <v>448</v>
      </c>
      <c r="U167" s="525" t="s">
        <v>1792</v>
      </c>
      <c r="W167" s="446" t="s">
        <v>167</v>
      </c>
      <c r="X167" s="446" t="s">
        <v>3410</v>
      </c>
      <c r="Z167" s="446"/>
      <c r="AA167" s="28"/>
      <c r="AB167" s="28"/>
      <c r="AC167" s="997"/>
      <c r="AD167" s="536"/>
    </row>
    <row r="168" spans="2:30" ht="10.5" customHeight="1">
      <c r="B168" s="292"/>
      <c r="C168" s="394" t="s">
        <v>1340</v>
      </c>
      <c r="D168" s="460">
        <v>50000</v>
      </c>
      <c r="E168" s="292"/>
      <c r="F168" s="292" t="s">
        <v>859</v>
      </c>
      <c r="G168" s="1079" t="s">
        <v>1336</v>
      </c>
      <c r="H168" s="1079" t="s">
        <v>1223</v>
      </c>
      <c r="I168" s="1080" t="s">
        <v>1709</v>
      </c>
      <c r="J168" s="1080" t="s">
        <v>2630</v>
      </c>
      <c r="K168" s="1081" t="s">
        <v>2599</v>
      </c>
      <c r="L168" s="1082" t="s">
        <v>426</v>
      </c>
      <c r="M168" s="2173" t="s">
        <v>1207</v>
      </c>
      <c r="N168" s="2173" t="s">
        <v>1709</v>
      </c>
      <c r="O168" s="2174" t="s">
        <v>4363</v>
      </c>
      <c r="P168" s="586" t="s">
        <v>451</v>
      </c>
      <c r="Q168" s="301"/>
      <c r="R168" s="177"/>
      <c r="S168" s="403"/>
      <c r="T168" s="525" t="s">
        <v>450</v>
      </c>
      <c r="U168" s="525" t="s">
        <v>1218</v>
      </c>
      <c r="W168" s="446" t="s">
        <v>1217</v>
      </c>
      <c r="X168" s="446" t="s">
        <v>3410</v>
      </c>
      <c r="Z168" s="446"/>
      <c r="AA168" s="28"/>
      <c r="AB168" s="28"/>
      <c r="AC168" s="997"/>
      <c r="AD168" s="536"/>
    </row>
    <row r="169" spans="2:30" ht="10.5" customHeight="1">
      <c r="B169" s="292"/>
      <c r="C169" s="393" t="s">
        <v>1047</v>
      </c>
      <c r="D169" s="460">
        <v>62100</v>
      </c>
      <c r="E169" s="292"/>
      <c r="F169" s="292" t="s">
        <v>860</v>
      </c>
      <c r="G169" s="1079" t="s">
        <v>1337</v>
      </c>
      <c r="H169" s="1079" t="s">
        <v>1223</v>
      </c>
      <c r="I169" s="1083" t="s">
        <v>1338</v>
      </c>
      <c r="J169" s="1083" t="s">
        <v>2630</v>
      </c>
      <c r="K169" s="1081" t="s">
        <v>1475</v>
      </c>
      <c r="L169" s="1082" t="s">
        <v>426</v>
      </c>
      <c r="M169" s="2173" t="s">
        <v>1207</v>
      </c>
      <c r="N169" s="2173" t="s">
        <v>1338</v>
      </c>
      <c r="O169" s="2174" t="s">
        <v>4364</v>
      </c>
      <c r="P169" s="586" t="s">
        <v>453</v>
      </c>
      <c r="Q169" s="301"/>
      <c r="R169" s="177"/>
      <c r="S169" s="403"/>
      <c r="T169" s="525" t="s">
        <v>452</v>
      </c>
      <c r="U169" s="525" t="s">
        <v>185</v>
      </c>
      <c r="W169" s="446" t="s">
        <v>2087</v>
      </c>
      <c r="X169" s="446" t="s">
        <v>3410</v>
      </c>
      <c r="Z169" s="446"/>
      <c r="AA169" s="28"/>
      <c r="AB169" s="28"/>
      <c r="AC169" s="997"/>
      <c r="AD169" s="536"/>
    </row>
    <row r="170" spans="2:30" ht="10.5" customHeight="1">
      <c r="B170" s="292"/>
      <c r="C170" s="394" t="s">
        <v>1345</v>
      </c>
      <c r="D170" s="460">
        <v>34400</v>
      </c>
      <c r="E170" s="292"/>
      <c r="F170" s="292" t="s">
        <v>861</v>
      </c>
      <c r="G170" s="1079" t="s">
        <v>1339</v>
      </c>
      <c r="H170" s="1079" t="s">
        <v>1223</v>
      </c>
      <c r="I170" s="1083" t="s">
        <v>1340</v>
      </c>
      <c r="J170" s="1083" t="s">
        <v>2629</v>
      </c>
      <c r="K170" s="1081" t="s">
        <v>2614</v>
      </c>
      <c r="L170" s="1082" t="s">
        <v>425</v>
      </c>
      <c r="M170" s="2173" t="s">
        <v>2616</v>
      </c>
      <c r="N170" s="2173" t="s">
        <v>1338</v>
      </c>
      <c r="O170" s="2174" t="s">
        <v>4365</v>
      </c>
      <c r="P170" s="586" t="s">
        <v>2278</v>
      </c>
      <c r="Q170" s="301"/>
      <c r="R170" s="177"/>
      <c r="S170" s="403"/>
      <c r="T170" s="525" t="s">
        <v>454</v>
      </c>
      <c r="U170" s="525" t="s">
        <v>123</v>
      </c>
      <c r="W170" s="446" t="s">
        <v>1342</v>
      </c>
      <c r="X170" s="446" t="s">
        <v>3410</v>
      </c>
      <c r="Z170" s="446"/>
      <c r="AA170" s="28"/>
      <c r="AB170" s="28"/>
      <c r="AC170" s="997"/>
      <c r="AD170" s="536"/>
    </row>
    <row r="171" spans="2:30" ht="10.5" customHeight="1">
      <c r="B171" s="292"/>
      <c r="C171" s="394" t="s">
        <v>738</v>
      </c>
      <c r="D171" s="460">
        <v>62100</v>
      </c>
      <c r="E171" s="292"/>
      <c r="F171" s="292" t="s">
        <v>862</v>
      </c>
      <c r="G171" s="1079" t="s">
        <v>1341</v>
      </c>
      <c r="H171" s="1079" t="s">
        <v>1223</v>
      </c>
      <c r="I171" s="1083" t="s">
        <v>773</v>
      </c>
      <c r="J171" s="1083" t="s">
        <v>2630</v>
      </c>
      <c r="K171" s="1081" t="s">
        <v>2615</v>
      </c>
      <c r="L171" s="1082" t="s">
        <v>426</v>
      </c>
      <c r="M171" s="2173" t="s">
        <v>2616</v>
      </c>
      <c r="N171" s="2173" t="s">
        <v>1342</v>
      </c>
      <c r="O171" s="2174" t="s">
        <v>4366</v>
      </c>
      <c r="P171" s="586" t="s">
        <v>2280</v>
      </c>
      <c r="Q171" s="301"/>
      <c r="R171" s="177"/>
      <c r="S171" s="403"/>
      <c r="T171" s="525" t="s">
        <v>2279</v>
      </c>
      <c r="U171" s="525" t="s">
        <v>2503</v>
      </c>
      <c r="W171" s="446" t="s">
        <v>2090</v>
      </c>
      <c r="X171" s="446" t="s">
        <v>3410</v>
      </c>
      <c r="Z171" s="446"/>
      <c r="AA171" s="28"/>
      <c r="AB171" s="28"/>
      <c r="AC171" s="997"/>
      <c r="AD171" s="536"/>
    </row>
    <row r="172" spans="2:30" ht="10.5" customHeight="1">
      <c r="B172" s="292"/>
      <c r="C172" s="394" t="s">
        <v>740</v>
      </c>
      <c r="D172" s="460">
        <v>39800</v>
      </c>
      <c r="E172" s="292"/>
      <c r="F172" s="292" t="s">
        <v>863</v>
      </c>
      <c r="G172" s="1079" t="s">
        <v>1343</v>
      </c>
      <c r="H172" s="1079" t="s">
        <v>1323</v>
      </c>
      <c r="I172" s="1083" t="s">
        <v>1047</v>
      </c>
      <c r="J172" s="1083" t="s">
        <v>2630</v>
      </c>
      <c r="K172" s="1081" t="s">
        <v>1269</v>
      </c>
      <c r="L172" s="1082" t="s">
        <v>426</v>
      </c>
      <c r="M172" s="2173" t="s">
        <v>2616</v>
      </c>
      <c r="N172" s="2173" t="s">
        <v>1217</v>
      </c>
      <c r="O172" s="2174" t="s">
        <v>4367</v>
      </c>
      <c r="P172" s="586" t="s">
        <v>370</v>
      </c>
      <c r="Q172" s="301"/>
      <c r="R172" s="177"/>
      <c r="S172" s="403"/>
      <c r="T172" s="525" t="s">
        <v>1862</v>
      </c>
      <c r="U172" s="525" t="s">
        <v>2193</v>
      </c>
      <c r="W172" s="446" t="s">
        <v>2123</v>
      </c>
      <c r="X172" s="446" t="s">
        <v>3410</v>
      </c>
      <c r="Z172" s="446"/>
      <c r="AA172" s="28"/>
      <c r="AB172" s="28"/>
      <c r="AC172" s="997"/>
      <c r="AD172" s="536"/>
    </row>
    <row r="173" spans="2:30" ht="10.5" customHeight="1">
      <c r="B173" s="292"/>
      <c r="C173" s="393" t="s">
        <v>159</v>
      </c>
      <c r="D173" s="460">
        <v>54800</v>
      </c>
      <c r="E173" s="292"/>
      <c r="F173" s="292" t="s">
        <v>864</v>
      </c>
      <c r="G173" s="1079" t="s">
        <v>1344</v>
      </c>
      <c r="H173" s="1079" t="s">
        <v>1223</v>
      </c>
      <c r="I173" s="1080" t="s">
        <v>1345</v>
      </c>
      <c r="J173" s="1080" t="s">
        <v>2629</v>
      </c>
      <c r="K173" s="1081" t="s">
        <v>1270</v>
      </c>
      <c r="L173" s="1082" t="s">
        <v>425</v>
      </c>
      <c r="M173" s="2173" t="s">
        <v>2616</v>
      </c>
      <c r="N173" s="2173" t="s">
        <v>1795</v>
      </c>
      <c r="O173" s="2174" t="s">
        <v>4368</v>
      </c>
      <c r="P173" s="586" t="s">
        <v>372</v>
      </c>
      <c r="Q173" s="301"/>
      <c r="R173" s="177"/>
      <c r="S173" s="403"/>
      <c r="T173" s="525" t="s">
        <v>371</v>
      </c>
      <c r="U173" s="525" t="s">
        <v>2193</v>
      </c>
      <c r="W173" s="446" t="s">
        <v>2127</v>
      </c>
      <c r="X173" s="446" t="s">
        <v>3410</v>
      </c>
      <c r="Z173" s="446"/>
      <c r="AA173" s="28"/>
      <c r="AB173" s="28"/>
      <c r="AC173" s="997"/>
      <c r="AD173" s="536"/>
    </row>
    <row r="174" spans="2:30" ht="10.5" customHeight="1">
      <c r="B174" s="292"/>
      <c r="C174" s="393" t="s">
        <v>1533</v>
      </c>
      <c r="D174" s="460">
        <v>59500</v>
      </c>
      <c r="E174" s="292"/>
      <c r="F174" s="292" t="s">
        <v>865</v>
      </c>
      <c r="G174" s="1079" t="s">
        <v>1346</v>
      </c>
      <c r="H174" s="1079" t="s">
        <v>1223</v>
      </c>
      <c r="I174" s="1083" t="s">
        <v>738</v>
      </c>
      <c r="J174" s="1083" t="s">
        <v>2629</v>
      </c>
      <c r="K174" s="1081" t="s">
        <v>1271</v>
      </c>
      <c r="L174" s="1082" t="s">
        <v>425</v>
      </c>
      <c r="M174" s="2173" t="s">
        <v>2616</v>
      </c>
      <c r="N174" s="2173" t="s">
        <v>1709</v>
      </c>
      <c r="O174" s="2174" t="s">
        <v>4369</v>
      </c>
      <c r="P174" s="586" t="s">
        <v>2562</v>
      </c>
      <c r="Q174" s="301"/>
      <c r="R174" s="177"/>
      <c r="S174" s="403"/>
      <c r="T174" s="525" t="s">
        <v>1222</v>
      </c>
      <c r="U174" s="525" t="s">
        <v>2545</v>
      </c>
      <c r="W174" s="446" t="s">
        <v>1796</v>
      </c>
      <c r="X174" s="446" t="s">
        <v>3410</v>
      </c>
      <c r="Z174" s="446"/>
      <c r="AA174" s="28"/>
      <c r="AB174" s="28"/>
      <c r="AC174" s="997"/>
      <c r="AD174" s="536"/>
    </row>
    <row r="175" spans="2:30" ht="10.5" customHeight="1">
      <c r="B175" s="292"/>
      <c r="C175" s="393" t="s">
        <v>164</v>
      </c>
      <c r="D175" s="460">
        <v>41500</v>
      </c>
      <c r="E175" s="292"/>
      <c r="F175" s="292" t="s">
        <v>866</v>
      </c>
      <c r="G175" s="1079" t="s">
        <v>739</v>
      </c>
      <c r="H175" s="1079" t="s">
        <v>1223</v>
      </c>
      <c r="I175" s="1080" t="s">
        <v>740</v>
      </c>
      <c r="J175" s="1080" t="s">
        <v>2629</v>
      </c>
      <c r="K175" s="1081" t="s">
        <v>1724</v>
      </c>
      <c r="L175" s="1082" t="s">
        <v>425</v>
      </c>
      <c r="M175" s="2173" t="s">
        <v>2616</v>
      </c>
      <c r="N175" s="2173" t="s">
        <v>1338</v>
      </c>
      <c r="O175" s="2174" t="s">
        <v>4370</v>
      </c>
      <c r="P175" s="586" t="s">
        <v>2564</v>
      </c>
      <c r="Q175" s="301"/>
      <c r="R175" s="177"/>
      <c r="S175" s="403"/>
      <c r="T175" s="525" t="s">
        <v>2563</v>
      </c>
      <c r="U175" s="525" t="s">
        <v>2550</v>
      </c>
      <c r="W175" s="446" t="s">
        <v>1016</v>
      </c>
      <c r="X175" s="446" t="s">
        <v>3410</v>
      </c>
      <c r="Z175" s="446"/>
      <c r="AA175" s="28"/>
      <c r="AB175" s="28"/>
      <c r="AC175" s="997"/>
      <c r="AD175" s="536"/>
    </row>
    <row r="176" spans="2:30" ht="10.5" customHeight="1">
      <c r="B176" s="292"/>
      <c r="C176" s="393" t="s">
        <v>2498</v>
      </c>
      <c r="D176" s="460">
        <v>30400</v>
      </c>
      <c r="E176" s="292"/>
      <c r="F176" s="292" t="s">
        <v>867</v>
      </c>
      <c r="G176" s="1079" t="s">
        <v>741</v>
      </c>
      <c r="H176" s="1079" t="s">
        <v>1323</v>
      </c>
      <c r="I176" s="1083" t="s">
        <v>772</v>
      </c>
      <c r="J176" s="1083" t="s">
        <v>2630</v>
      </c>
      <c r="K176" s="1081" t="s">
        <v>2593</v>
      </c>
      <c r="L176" s="1082" t="s">
        <v>426</v>
      </c>
      <c r="M176" s="2173" t="s">
        <v>1207</v>
      </c>
      <c r="N176" s="2173" t="s">
        <v>1217</v>
      </c>
      <c r="O176" s="2174" t="s">
        <v>4371</v>
      </c>
      <c r="P176" s="586" t="s">
        <v>2566</v>
      </c>
      <c r="Q176" s="301"/>
      <c r="R176" s="177"/>
      <c r="S176" s="403"/>
      <c r="T176" s="525" t="s">
        <v>2565</v>
      </c>
      <c r="U176" s="525" t="s">
        <v>1107</v>
      </c>
      <c r="W176" s="446" t="s">
        <v>2461</v>
      </c>
      <c r="X176" s="446" t="s">
        <v>3410</v>
      </c>
      <c r="Z176" s="446"/>
      <c r="AA176" s="28"/>
      <c r="AB176" s="28"/>
      <c r="AC176" s="997"/>
      <c r="AD176" s="536"/>
    </row>
    <row r="177" spans="2:30" ht="10.5" customHeight="1">
      <c r="B177" s="292"/>
      <c r="C177" s="394" t="s">
        <v>2501</v>
      </c>
      <c r="D177" s="460">
        <v>43800</v>
      </c>
      <c r="E177" s="292"/>
      <c r="F177" s="292" t="s">
        <v>868</v>
      </c>
      <c r="G177" s="1079" t="s">
        <v>1532</v>
      </c>
      <c r="H177" s="1079" t="s">
        <v>1323</v>
      </c>
      <c r="I177" s="1083" t="s">
        <v>1533</v>
      </c>
      <c r="J177" s="1083" t="s">
        <v>2630</v>
      </c>
      <c r="K177" s="1081" t="s">
        <v>1693</v>
      </c>
      <c r="L177" s="1082" t="s">
        <v>426</v>
      </c>
      <c r="M177" s="2173" t="s">
        <v>2616</v>
      </c>
      <c r="N177" s="2173" t="s">
        <v>1533</v>
      </c>
      <c r="O177" s="2174" t="s">
        <v>4372</v>
      </c>
      <c r="P177" s="586" t="s">
        <v>2568</v>
      </c>
      <c r="Q177" s="301"/>
      <c r="R177" s="177"/>
      <c r="S177" s="403"/>
      <c r="T177" s="525" t="s">
        <v>2567</v>
      </c>
      <c r="U177" s="525" t="s">
        <v>325</v>
      </c>
      <c r="W177" s="446" t="s">
        <v>2463</v>
      </c>
      <c r="X177" s="446" t="s">
        <v>3410</v>
      </c>
      <c r="Z177" s="446"/>
      <c r="AA177" s="28"/>
      <c r="AB177" s="28"/>
      <c r="AC177" s="997"/>
      <c r="AD177" s="536"/>
    </row>
    <row r="178" spans="2:30" ht="10.5" customHeight="1">
      <c r="B178" s="292"/>
      <c r="C178" s="394" t="s">
        <v>2504</v>
      </c>
      <c r="D178" s="460">
        <v>43400</v>
      </c>
      <c r="E178" s="292"/>
      <c r="F178" s="292" t="s">
        <v>869</v>
      </c>
      <c r="G178" s="1079" t="s">
        <v>158</v>
      </c>
      <c r="H178" s="1079" t="s">
        <v>1223</v>
      </c>
      <c r="I178" s="1080" t="s">
        <v>159</v>
      </c>
      <c r="J178" s="1080" t="s">
        <v>2629</v>
      </c>
      <c r="K178" s="1081" t="s">
        <v>1694</v>
      </c>
      <c r="L178" s="1082" t="s">
        <v>425</v>
      </c>
      <c r="M178" s="2173" t="s">
        <v>2616</v>
      </c>
      <c r="N178" s="2173" t="s">
        <v>1709</v>
      </c>
      <c r="O178" s="2174" t="s">
        <v>4373</v>
      </c>
      <c r="P178" s="586" t="s">
        <v>2570</v>
      </c>
      <c r="Q178" s="301"/>
      <c r="R178" s="177"/>
      <c r="S178" s="403"/>
      <c r="T178" s="525" t="s">
        <v>2569</v>
      </c>
      <c r="U178" s="525" t="s">
        <v>2500</v>
      </c>
      <c r="W178" s="446" t="s">
        <v>2465</v>
      </c>
      <c r="X178" s="446" t="s">
        <v>3410</v>
      </c>
      <c r="Z178" s="446"/>
      <c r="AA178" s="28"/>
      <c r="AB178" s="28"/>
      <c r="AC178" s="997"/>
      <c r="AD178" s="536"/>
    </row>
    <row r="179" spans="2:30" ht="10.5" customHeight="1">
      <c r="B179" s="292"/>
      <c r="C179" s="394" t="s">
        <v>2544</v>
      </c>
      <c r="D179" s="460">
        <v>39400</v>
      </c>
      <c r="E179" s="292"/>
      <c r="F179" s="292" t="s">
        <v>870</v>
      </c>
      <c r="G179" s="1079" t="s">
        <v>160</v>
      </c>
      <c r="H179" s="1079" t="s">
        <v>1223</v>
      </c>
      <c r="I179" s="1083" t="s">
        <v>1338</v>
      </c>
      <c r="J179" s="1083" t="s">
        <v>2630</v>
      </c>
      <c r="K179" s="1081" t="s">
        <v>1475</v>
      </c>
      <c r="L179" s="1082" t="s">
        <v>426</v>
      </c>
      <c r="M179" s="2173" t="s">
        <v>1207</v>
      </c>
      <c r="N179" s="2173" t="s">
        <v>1338</v>
      </c>
      <c r="O179" s="2174" t="s">
        <v>4374</v>
      </c>
      <c r="P179" s="586" t="s">
        <v>2572</v>
      </c>
      <c r="Q179" s="301"/>
      <c r="R179" s="177"/>
      <c r="S179" s="403"/>
      <c r="T179" s="525" t="s">
        <v>2571</v>
      </c>
      <c r="U179" s="525" t="s">
        <v>1344</v>
      </c>
      <c r="W179" s="446" t="s">
        <v>2468</v>
      </c>
      <c r="X179" s="446" t="s">
        <v>3410</v>
      </c>
      <c r="Z179" s="446"/>
      <c r="AA179" s="28"/>
      <c r="AB179" s="28"/>
      <c r="AC179" s="997"/>
      <c r="AD179" s="536"/>
    </row>
    <row r="180" spans="2:30" ht="10.5" customHeight="1">
      <c r="B180" s="292"/>
      <c r="C180" s="393" t="s">
        <v>162</v>
      </c>
      <c r="D180" s="460">
        <v>53400</v>
      </c>
      <c r="E180" s="292"/>
      <c r="F180" s="292" t="s">
        <v>1353</v>
      </c>
      <c r="G180" s="1079" t="s">
        <v>161</v>
      </c>
      <c r="H180" s="1079" t="s">
        <v>1323</v>
      </c>
      <c r="I180" s="1083" t="s">
        <v>162</v>
      </c>
      <c r="J180" s="1083" t="s">
        <v>2630</v>
      </c>
      <c r="K180" s="1081" t="s">
        <v>1695</v>
      </c>
      <c r="L180" s="1082" t="s">
        <v>426</v>
      </c>
      <c r="M180" s="2173" t="s">
        <v>2616</v>
      </c>
      <c r="N180" s="2173" t="s">
        <v>162</v>
      </c>
      <c r="O180" s="2174" t="s">
        <v>4375</v>
      </c>
      <c r="P180" s="586" t="s">
        <v>2573</v>
      </c>
      <c r="Q180" s="301"/>
      <c r="R180" s="177"/>
      <c r="S180" s="403"/>
      <c r="T180" s="525" t="s">
        <v>2574</v>
      </c>
      <c r="U180" s="525" t="s">
        <v>2608</v>
      </c>
      <c r="W180" s="446" t="s">
        <v>2247</v>
      </c>
      <c r="X180" s="446" t="s">
        <v>3410</v>
      </c>
      <c r="Z180" s="446"/>
      <c r="AA180" s="28"/>
      <c r="AB180" s="28"/>
      <c r="AC180" s="997"/>
      <c r="AD180" s="536"/>
    </row>
    <row r="181" spans="2:30" ht="10.5" customHeight="1">
      <c r="B181" s="292"/>
      <c r="C181" s="394" t="s">
        <v>2547</v>
      </c>
      <c r="D181" s="460">
        <v>43800</v>
      </c>
      <c r="E181" s="292"/>
      <c r="F181" s="292" t="s">
        <v>1354</v>
      </c>
      <c r="G181" s="1079" t="s">
        <v>163</v>
      </c>
      <c r="H181" s="1079" t="s">
        <v>1323</v>
      </c>
      <c r="I181" s="1080" t="s">
        <v>164</v>
      </c>
      <c r="J181" s="1080" t="s">
        <v>2629</v>
      </c>
      <c r="K181" s="1081" t="s">
        <v>1696</v>
      </c>
      <c r="L181" s="1082" t="s">
        <v>425</v>
      </c>
      <c r="M181" s="2173" t="s">
        <v>2616</v>
      </c>
      <c r="N181" s="2173" t="s">
        <v>1533</v>
      </c>
      <c r="O181" s="2174" t="s">
        <v>4376</v>
      </c>
      <c r="P181" s="586" t="s">
        <v>2575</v>
      </c>
      <c r="Q181" s="301"/>
      <c r="R181" s="177"/>
      <c r="S181" s="403"/>
      <c r="T181" s="525" t="s">
        <v>2576</v>
      </c>
      <c r="U181" s="525" t="s">
        <v>1932</v>
      </c>
      <c r="W181" s="446" t="s">
        <v>2347</v>
      </c>
      <c r="X181" s="446" t="s">
        <v>3410</v>
      </c>
      <c r="Z181" s="446"/>
      <c r="AA181" s="28"/>
      <c r="AB181" s="28"/>
      <c r="AC181" s="997"/>
      <c r="AD181" s="536"/>
    </row>
    <row r="182" spans="2:30" ht="10.5" customHeight="1">
      <c r="B182" s="292"/>
      <c r="C182" s="394" t="s">
        <v>195</v>
      </c>
      <c r="D182" s="460">
        <v>44700</v>
      </c>
      <c r="E182" s="292"/>
      <c r="F182" s="292" t="s">
        <v>1355</v>
      </c>
      <c r="G182" s="1079" t="s">
        <v>165</v>
      </c>
      <c r="H182" s="1079" t="s">
        <v>1323</v>
      </c>
      <c r="I182" s="1083" t="s">
        <v>772</v>
      </c>
      <c r="J182" s="1083" t="s">
        <v>2630</v>
      </c>
      <c r="K182" s="1081" t="s">
        <v>2593</v>
      </c>
      <c r="L182" s="1082" t="s">
        <v>426</v>
      </c>
      <c r="M182" s="2173" t="s">
        <v>1207</v>
      </c>
      <c r="N182" s="2173" t="s">
        <v>1217</v>
      </c>
      <c r="O182" s="2174" t="s">
        <v>4377</v>
      </c>
      <c r="P182" s="586" t="s">
        <v>419</v>
      </c>
      <c r="Q182" s="301"/>
      <c r="R182" s="177"/>
      <c r="S182" s="403"/>
      <c r="T182" s="525" t="s">
        <v>167</v>
      </c>
      <c r="U182" s="525" t="s">
        <v>166</v>
      </c>
      <c r="W182" s="446" t="s">
        <v>307</v>
      </c>
      <c r="X182" s="446" t="s">
        <v>3410</v>
      </c>
      <c r="Z182" s="446"/>
      <c r="AA182" s="28"/>
      <c r="AB182" s="28"/>
      <c r="AC182" s="997"/>
      <c r="AD182" s="536"/>
    </row>
    <row r="183" spans="2:30" ht="10.5" customHeight="1">
      <c r="B183" s="292"/>
      <c r="C183" s="394" t="s">
        <v>337</v>
      </c>
      <c r="D183" s="460">
        <v>52700</v>
      </c>
      <c r="E183" s="292"/>
      <c r="F183" s="292" t="s">
        <v>1356</v>
      </c>
      <c r="G183" s="1079" t="s">
        <v>166</v>
      </c>
      <c r="H183" s="1079" t="s">
        <v>1323</v>
      </c>
      <c r="I183" s="1080" t="s">
        <v>2059</v>
      </c>
      <c r="J183" s="1080" t="s">
        <v>2630</v>
      </c>
      <c r="K183" s="1081" t="s">
        <v>626</v>
      </c>
      <c r="L183" s="1082" t="s">
        <v>426</v>
      </c>
      <c r="M183" s="2175" t="s">
        <v>1207</v>
      </c>
      <c r="N183" s="2175" t="s">
        <v>167</v>
      </c>
      <c r="O183" s="2174" t="s">
        <v>4378</v>
      </c>
      <c r="P183" s="586" t="s">
        <v>420</v>
      </c>
      <c r="Q183" s="301"/>
      <c r="R183" s="292"/>
      <c r="S183" s="403"/>
      <c r="T183" s="525" t="s">
        <v>1217</v>
      </c>
      <c r="U183" s="525" t="s">
        <v>1218</v>
      </c>
      <c r="W183" s="446" t="s">
        <v>11</v>
      </c>
      <c r="X183" s="446" t="s">
        <v>3410</v>
      </c>
      <c r="Z183" s="446"/>
      <c r="AA183" s="28"/>
      <c r="AB183" s="28"/>
      <c r="AC183" s="997"/>
      <c r="AD183" s="536"/>
    </row>
    <row r="184" spans="2:30" ht="10.5" customHeight="1">
      <c r="B184" s="292"/>
      <c r="C184" s="393" t="s">
        <v>199</v>
      </c>
      <c r="D184" s="460">
        <v>44300</v>
      </c>
      <c r="E184" s="292"/>
      <c r="F184" s="292" t="s">
        <v>1357</v>
      </c>
      <c r="G184" s="1079" t="s">
        <v>2497</v>
      </c>
      <c r="H184" s="1079" t="s">
        <v>1223</v>
      </c>
      <c r="I184" s="1080" t="s">
        <v>2498</v>
      </c>
      <c r="J184" s="1080" t="s">
        <v>2629</v>
      </c>
      <c r="K184" s="1081" t="s">
        <v>627</v>
      </c>
      <c r="L184" s="1082" t="s">
        <v>425</v>
      </c>
      <c r="M184" s="2175" t="s">
        <v>2616</v>
      </c>
      <c r="N184" s="2175" t="s">
        <v>1795</v>
      </c>
      <c r="O184" s="2174" t="s">
        <v>4379</v>
      </c>
      <c r="P184" s="586" t="s">
        <v>786</v>
      </c>
      <c r="Q184" s="546"/>
      <c r="R184" s="177"/>
      <c r="S184" s="403"/>
      <c r="T184" s="525" t="s">
        <v>787</v>
      </c>
      <c r="U184" s="525" t="s">
        <v>198</v>
      </c>
      <c r="W184" s="446" t="s">
        <v>13</v>
      </c>
      <c r="X184" s="446" t="s">
        <v>3410</v>
      </c>
      <c r="Z184" s="446"/>
      <c r="AA184" s="28"/>
      <c r="AB184" s="28"/>
      <c r="AC184" s="997"/>
      <c r="AD184" s="536"/>
    </row>
    <row r="185" spans="2:30" ht="10.5" customHeight="1">
      <c r="B185" s="292"/>
      <c r="C185" s="393" t="s">
        <v>961</v>
      </c>
      <c r="D185" s="460">
        <v>49300</v>
      </c>
      <c r="E185" s="292"/>
      <c r="F185" s="292" t="s">
        <v>1358</v>
      </c>
      <c r="G185" s="1079" t="s">
        <v>2499</v>
      </c>
      <c r="H185" s="1079" t="s">
        <v>1323</v>
      </c>
      <c r="I185" s="1083" t="s">
        <v>772</v>
      </c>
      <c r="J185" s="1083" t="s">
        <v>2630</v>
      </c>
      <c r="K185" s="1081" t="s">
        <v>2593</v>
      </c>
      <c r="L185" s="1082" t="s">
        <v>426</v>
      </c>
      <c r="M185" s="2173" t="s">
        <v>1207</v>
      </c>
      <c r="N185" s="2173" t="s">
        <v>1217</v>
      </c>
      <c r="O185" s="2174" t="s">
        <v>4380</v>
      </c>
      <c r="P185" s="586" t="s">
        <v>788</v>
      </c>
      <c r="Q185" s="546"/>
      <c r="R185" s="177"/>
      <c r="S185" s="403"/>
      <c r="T185" s="525" t="s">
        <v>2087</v>
      </c>
      <c r="U185" s="525" t="s">
        <v>1325</v>
      </c>
      <c r="W185" s="446" t="s">
        <v>60</v>
      </c>
      <c r="X185" s="446" t="s">
        <v>3410</v>
      </c>
      <c r="Z185" s="446"/>
      <c r="AA185" s="28"/>
      <c r="AB185" s="28"/>
      <c r="AC185" s="997"/>
      <c r="AD185" s="536"/>
    </row>
    <row r="186" spans="2:30" ht="10.5" customHeight="1">
      <c r="B186" s="292"/>
      <c r="C186" s="394" t="s">
        <v>963</v>
      </c>
      <c r="D186" s="460">
        <v>38100</v>
      </c>
      <c r="E186" s="292"/>
      <c r="F186" s="292" t="s">
        <v>1359</v>
      </c>
      <c r="G186" s="1079" t="s">
        <v>2500</v>
      </c>
      <c r="H186" s="1079" t="s">
        <v>1223</v>
      </c>
      <c r="I186" s="1080" t="s">
        <v>2501</v>
      </c>
      <c r="J186" s="1080" t="s">
        <v>2629</v>
      </c>
      <c r="K186" s="1081" t="s">
        <v>628</v>
      </c>
      <c r="L186" s="1082" t="s">
        <v>425</v>
      </c>
      <c r="M186" s="2175" t="s">
        <v>2616</v>
      </c>
      <c r="N186" s="2175" t="s">
        <v>1709</v>
      </c>
      <c r="O186" s="2174" t="s">
        <v>4381</v>
      </c>
      <c r="P186" s="586" t="s">
        <v>2088</v>
      </c>
      <c r="Q186" s="546"/>
      <c r="R186" s="177"/>
      <c r="S186" s="403"/>
      <c r="T186" s="525" t="s">
        <v>1342</v>
      </c>
      <c r="U186" s="525" t="s">
        <v>1119</v>
      </c>
      <c r="W186" s="446" t="s">
        <v>62</v>
      </c>
      <c r="X186" s="446" t="s">
        <v>3410</v>
      </c>
      <c r="Z186" s="446"/>
      <c r="AA186" s="28"/>
      <c r="AB186" s="28"/>
      <c r="AC186" s="997"/>
      <c r="AD186" s="536"/>
    </row>
    <row r="187" spans="2:30" ht="10.5" customHeight="1">
      <c r="B187" s="292"/>
      <c r="C187" s="393" t="s">
        <v>884</v>
      </c>
      <c r="D187" s="460">
        <v>43700</v>
      </c>
      <c r="E187" s="292"/>
      <c r="F187" s="292" t="s">
        <v>1360</v>
      </c>
      <c r="G187" s="1079" t="s">
        <v>2502</v>
      </c>
      <c r="H187" s="1079" t="s">
        <v>1323</v>
      </c>
      <c r="I187" s="1083" t="s">
        <v>772</v>
      </c>
      <c r="J187" s="1083" t="s">
        <v>2630</v>
      </c>
      <c r="K187" s="1081" t="s">
        <v>2593</v>
      </c>
      <c r="L187" s="1082" t="s">
        <v>426</v>
      </c>
      <c r="M187" s="2173" t="s">
        <v>1207</v>
      </c>
      <c r="N187" s="2173" t="s">
        <v>1217</v>
      </c>
      <c r="O187" s="2174" t="s">
        <v>4382</v>
      </c>
      <c r="P187" s="586" t="s">
        <v>2089</v>
      </c>
      <c r="Q187" s="546"/>
      <c r="R187" s="177"/>
      <c r="S187" s="403"/>
      <c r="T187" s="525" t="s">
        <v>2090</v>
      </c>
      <c r="U187" s="525" t="s">
        <v>2502</v>
      </c>
      <c r="W187" s="446" t="s">
        <v>354</v>
      </c>
      <c r="X187" s="446" t="s">
        <v>3410</v>
      </c>
      <c r="Z187" s="446"/>
      <c r="AA187" s="28"/>
      <c r="AB187" s="28"/>
      <c r="AC187" s="997"/>
      <c r="AD187" s="536"/>
    </row>
    <row r="188" spans="2:30" ht="10.5" customHeight="1">
      <c r="B188" s="292"/>
      <c r="C188" s="394" t="s">
        <v>888</v>
      </c>
      <c r="D188" s="460">
        <v>43600</v>
      </c>
      <c r="E188" s="292"/>
      <c r="F188" s="292" t="s">
        <v>1361</v>
      </c>
      <c r="G188" s="1079" t="s">
        <v>2503</v>
      </c>
      <c r="H188" s="1079" t="s">
        <v>1223</v>
      </c>
      <c r="I188" s="1080" t="s">
        <v>2504</v>
      </c>
      <c r="J188" s="1080" t="s">
        <v>2629</v>
      </c>
      <c r="K188" s="1081" t="s">
        <v>629</v>
      </c>
      <c r="L188" s="1082" t="s">
        <v>425</v>
      </c>
      <c r="M188" s="2175" t="s">
        <v>2616</v>
      </c>
      <c r="N188" s="2175" t="s">
        <v>1709</v>
      </c>
      <c r="O188" s="2174" t="s">
        <v>4383</v>
      </c>
      <c r="P188" s="586" t="s">
        <v>2091</v>
      </c>
      <c r="Q188" s="546"/>
      <c r="R188" s="177"/>
      <c r="S188" s="403"/>
      <c r="T188" s="525" t="s">
        <v>2015</v>
      </c>
      <c r="U188" s="525" t="s">
        <v>2189</v>
      </c>
      <c r="W188" s="446" t="s">
        <v>358</v>
      </c>
      <c r="X188" s="446" t="s">
        <v>3410</v>
      </c>
      <c r="Z188" s="446"/>
      <c r="AA188" s="28"/>
      <c r="AB188" s="28"/>
      <c r="AC188" s="997"/>
      <c r="AD188" s="536"/>
    </row>
    <row r="189" spans="2:30" ht="10.5" customHeight="1">
      <c r="B189" s="292"/>
      <c r="C189" s="394" t="s">
        <v>2259</v>
      </c>
      <c r="D189" s="460">
        <v>39000</v>
      </c>
      <c r="E189" s="292"/>
      <c r="F189" s="292" t="s">
        <v>1362</v>
      </c>
      <c r="G189" s="1079" t="s">
        <v>2505</v>
      </c>
      <c r="H189" s="1079" t="s">
        <v>1223</v>
      </c>
      <c r="I189" s="1080" t="s">
        <v>2544</v>
      </c>
      <c r="J189" s="1080" t="s">
        <v>2629</v>
      </c>
      <c r="K189" s="1081" t="s">
        <v>630</v>
      </c>
      <c r="L189" s="1082" t="s">
        <v>425</v>
      </c>
      <c r="M189" s="2175" t="s">
        <v>2616</v>
      </c>
      <c r="N189" s="2175" t="s">
        <v>1795</v>
      </c>
      <c r="O189" s="2174" t="s">
        <v>4384</v>
      </c>
      <c r="P189" s="586" t="s">
        <v>2122</v>
      </c>
      <c r="Q189" s="546"/>
      <c r="R189" s="177"/>
      <c r="S189" s="403"/>
      <c r="T189" s="525" t="s">
        <v>2092</v>
      </c>
      <c r="U189" s="525" t="s">
        <v>330</v>
      </c>
      <c r="W189" s="446" t="s">
        <v>2306</v>
      </c>
      <c r="X189" s="446" t="s">
        <v>3410</v>
      </c>
      <c r="Z189" s="446"/>
      <c r="AA189" s="28"/>
      <c r="AB189" s="28"/>
      <c r="AC189" s="997"/>
      <c r="AD189" s="536"/>
    </row>
    <row r="190" spans="2:30" ht="10.5" customHeight="1">
      <c r="B190" s="292"/>
      <c r="C190" s="394" t="s">
        <v>660</v>
      </c>
      <c r="D190" s="460">
        <v>48400</v>
      </c>
      <c r="E190" s="292"/>
      <c r="F190" s="292" t="s">
        <v>1363</v>
      </c>
      <c r="G190" s="1079" t="s">
        <v>2545</v>
      </c>
      <c r="H190" s="1079" t="s">
        <v>1323</v>
      </c>
      <c r="I190" s="1083" t="s">
        <v>773</v>
      </c>
      <c r="J190" s="1083" t="s">
        <v>2630</v>
      </c>
      <c r="K190" s="1081" t="s">
        <v>2615</v>
      </c>
      <c r="L190" s="1082" t="s">
        <v>426</v>
      </c>
      <c r="M190" s="2173" t="s">
        <v>2616</v>
      </c>
      <c r="N190" s="2173" t="s">
        <v>1342</v>
      </c>
      <c r="O190" s="2174" t="s">
        <v>4385</v>
      </c>
      <c r="P190" s="586" t="s">
        <v>2124</v>
      </c>
      <c r="Q190" s="546"/>
      <c r="R190" s="177"/>
      <c r="S190" s="403"/>
      <c r="T190" s="525" t="s">
        <v>2123</v>
      </c>
      <c r="U190" s="525" t="s">
        <v>634</v>
      </c>
      <c r="W190" s="446" t="s">
        <v>1344</v>
      </c>
      <c r="X190" s="446" t="s">
        <v>3410</v>
      </c>
      <c r="Z190" s="446"/>
      <c r="AA190" s="28"/>
      <c r="AB190" s="28"/>
      <c r="AC190" s="997"/>
      <c r="AD190" s="536"/>
    </row>
    <row r="191" spans="2:30" ht="10.5" customHeight="1">
      <c r="B191" s="292"/>
      <c r="C191" s="394" t="s">
        <v>662</v>
      </c>
      <c r="D191" s="460">
        <v>42700</v>
      </c>
      <c r="E191" s="292"/>
      <c r="F191" s="292" t="s">
        <v>1364</v>
      </c>
      <c r="G191" s="1079" t="s">
        <v>2546</v>
      </c>
      <c r="H191" s="1079" t="s">
        <v>1223</v>
      </c>
      <c r="I191" s="1080" t="s">
        <v>2547</v>
      </c>
      <c r="J191" s="1080" t="s">
        <v>2629</v>
      </c>
      <c r="K191" s="1081" t="s">
        <v>631</v>
      </c>
      <c r="L191" s="1082" t="s">
        <v>425</v>
      </c>
      <c r="M191" s="2175" t="s">
        <v>2616</v>
      </c>
      <c r="N191" s="2175" t="s">
        <v>1709</v>
      </c>
      <c r="O191" s="2174" t="s">
        <v>4386</v>
      </c>
      <c r="P191" s="586" t="s">
        <v>2126</v>
      </c>
      <c r="Q191" s="546"/>
      <c r="R191" s="177"/>
      <c r="S191" s="403"/>
      <c r="T191" s="525" t="s">
        <v>2125</v>
      </c>
      <c r="U191" s="525" t="s">
        <v>1646</v>
      </c>
      <c r="W191" s="446" t="s">
        <v>1572</v>
      </c>
      <c r="X191" s="446" t="s">
        <v>3410</v>
      </c>
      <c r="Z191" s="446"/>
      <c r="AA191" s="28"/>
      <c r="AB191" s="28"/>
      <c r="AC191" s="997"/>
      <c r="AD191" s="536"/>
    </row>
    <row r="192" spans="2:30" ht="10.5" customHeight="1">
      <c r="B192" s="292"/>
      <c r="C192" s="394" t="s">
        <v>667</v>
      </c>
      <c r="D192" s="460">
        <v>47200</v>
      </c>
      <c r="E192" s="292"/>
      <c r="F192" s="292" t="s">
        <v>1365</v>
      </c>
      <c r="G192" s="1079" t="s">
        <v>2548</v>
      </c>
      <c r="H192" s="1079" t="s">
        <v>1323</v>
      </c>
      <c r="I192" s="1083" t="s">
        <v>772</v>
      </c>
      <c r="J192" s="1083" t="s">
        <v>2630</v>
      </c>
      <c r="K192" s="1081" t="s">
        <v>2593</v>
      </c>
      <c r="L192" s="1082" t="s">
        <v>426</v>
      </c>
      <c r="M192" s="2173" t="s">
        <v>1207</v>
      </c>
      <c r="N192" s="2173" t="s">
        <v>1217</v>
      </c>
      <c r="O192" s="2174" t="s">
        <v>4387</v>
      </c>
      <c r="P192" s="586" t="s">
        <v>2128</v>
      </c>
      <c r="Q192" s="546"/>
      <c r="R192" s="177"/>
      <c r="S192" s="403"/>
      <c r="T192" s="525" t="s">
        <v>2127</v>
      </c>
      <c r="U192" s="525" t="s">
        <v>198</v>
      </c>
      <c r="W192" s="446" t="s">
        <v>1576</v>
      </c>
      <c r="X192" s="446" t="s">
        <v>3410</v>
      </c>
      <c r="Z192" s="446"/>
      <c r="AA192" s="28"/>
      <c r="AB192" s="28"/>
      <c r="AC192" s="997"/>
      <c r="AD192" s="536"/>
    </row>
    <row r="193" spans="2:30" ht="10.5" customHeight="1">
      <c r="B193" s="292"/>
      <c r="C193" s="394" t="s">
        <v>1233</v>
      </c>
      <c r="D193" s="460">
        <v>61700</v>
      </c>
      <c r="E193" s="292"/>
      <c r="F193" s="292" t="s">
        <v>1366</v>
      </c>
      <c r="G193" s="1079" t="s">
        <v>2549</v>
      </c>
      <c r="H193" s="1079" t="s">
        <v>1323</v>
      </c>
      <c r="I193" s="1083" t="s">
        <v>1332</v>
      </c>
      <c r="J193" s="1083" t="s">
        <v>2630</v>
      </c>
      <c r="K193" s="1081" t="s">
        <v>2596</v>
      </c>
      <c r="L193" s="1082" t="s">
        <v>426</v>
      </c>
      <c r="M193" s="2173" t="s">
        <v>2616</v>
      </c>
      <c r="N193" s="2173" t="s">
        <v>1332</v>
      </c>
      <c r="O193" s="2174" t="s">
        <v>4388</v>
      </c>
      <c r="P193" s="586" t="s">
        <v>2556</v>
      </c>
      <c r="Q193" s="546"/>
      <c r="R193" s="177"/>
      <c r="S193" s="403"/>
      <c r="T193" s="525" t="s">
        <v>1796</v>
      </c>
      <c r="U193" s="525" t="s">
        <v>123</v>
      </c>
      <c r="W193" s="446" t="s">
        <v>1758</v>
      </c>
      <c r="X193" s="446" t="s">
        <v>3410</v>
      </c>
      <c r="Z193" s="446"/>
      <c r="AA193" s="28"/>
      <c r="AB193" s="28"/>
      <c r="AC193" s="997"/>
      <c r="AD193" s="536"/>
    </row>
    <row r="194" spans="2:30" ht="10.5" customHeight="1">
      <c r="B194" s="292"/>
      <c r="C194" s="394" t="s">
        <v>669</v>
      </c>
      <c r="D194" s="460">
        <v>48800</v>
      </c>
      <c r="E194" s="292"/>
      <c r="F194" s="292" t="s">
        <v>1367</v>
      </c>
      <c r="G194" s="1079" t="s">
        <v>2550</v>
      </c>
      <c r="H194" s="1079" t="s">
        <v>1223</v>
      </c>
      <c r="I194" s="1080" t="s">
        <v>195</v>
      </c>
      <c r="J194" s="1080" t="s">
        <v>2629</v>
      </c>
      <c r="K194" s="1081" t="s">
        <v>632</v>
      </c>
      <c r="L194" s="1082" t="s">
        <v>425</v>
      </c>
      <c r="M194" s="2175" t="s">
        <v>2616</v>
      </c>
      <c r="N194" s="2175" t="s">
        <v>1795</v>
      </c>
      <c r="O194" s="2174" t="s">
        <v>4389</v>
      </c>
      <c r="P194" s="586" t="s">
        <v>1015</v>
      </c>
      <c r="Q194" s="546"/>
      <c r="R194" s="177"/>
      <c r="S194" s="403"/>
      <c r="T194" s="525" t="s">
        <v>2557</v>
      </c>
      <c r="U194" s="525" t="s">
        <v>165</v>
      </c>
      <c r="W194" s="446" t="s">
        <v>1032</v>
      </c>
      <c r="X194" s="446" t="s">
        <v>3410</v>
      </c>
      <c r="Z194" s="446"/>
      <c r="AA194" s="28"/>
      <c r="AB194" s="28"/>
      <c r="AC194" s="997"/>
      <c r="AD194" s="536"/>
    </row>
    <row r="195" spans="2:30" ht="10.5" customHeight="1">
      <c r="B195" s="292"/>
      <c r="C195" s="394" t="s">
        <v>671</v>
      </c>
      <c r="D195" s="460">
        <v>51300</v>
      </c>
      <c r="E195" s="292"/>
      <c r="F195" s="292" t="s">
        <v>1368</v>
      </c>
      <c r="G195" s="1079" t="s">
        <v>196</v>
      </c>
      <c r="H195" s="1079" t="s">
        <v>1323</v>
      </c>
      <c r="I195" s="1083" t="s">
        <v>1533</v>
      </c>
      <c r="J195" s="1083" t="s">
        <v>2630</v>
      </c>
      <c r="K195" s="1081" t="s">
        <v>1693</v>
      </c>
      <c r="L195" s="1082" t="s">
        <v>426</v>
      </c>
      <c r="M195" s="2173" t="s">
        <v>2616</v>
      </c>
      <c r="N195" s="2173" t="s">
        <v>1533</v>
      </c>
      <c r="O195" s="2174" t="s">
        <v>4390</v>
      </c>
      <c r="P195" s="586" t="s">
        <v>2018</v>
      </c>
      <c r="Q195" s="546"/>
      <c r="R195" s="177"/>
      <c r="S195" s="403"/>
      <c r="T195" s="525" t="s">
        <v>1016</v>
      </c>
      <c r="U195" s="525" t="s">
        <v>431</v>
      </c>
      <c r="W195" s="446" t="s">
        <v>1035</v>
      </c>
      <c r="X195" s="446" t="s">
        <v>3410</v>
      </c>
      <c r="Z195" s="446"/>
      <c r="AA195" s="28"/>
      <c r="AB195" s="28"/>
      <c r="AC195" s="997"/>
      <c r="AD195" s="536"/>
    </row>
    <row r="196" spans="2:30" ht="10.5" customHeight="1">
      <c r="B196" s="292"/>
      <c r="C196" s="394" t="s">
        <v>674</v>
      </c>
      <c r="D196" s="460">
        <v>49400</v>
      </c>
      <c r="E196" s="292"/>
      <c r="F196" s="292" t="s">
        <v>1369</v>
      </c>
      <c r="G196" s="1079" t="s">
        <v>197</v>
      </c>
      <c r="H196" s="1079" t="s">
        <v>1323</v>
      </c>
      <c r="I196" s="1083" t="s">
        <v>772</v>
      </c>
      <c r="J196" s="1083" t="s">
        <v>2630</v>
      </c>
      <c r="K196" s="1081" t="s">
        <v>2593</v>
      </c>
      <c r="L196" s="1082" t="s">
        <v>426</v>
      </c>
      <c r="M196" s="2173" t="s">
        <v>1207</v>
      </c>
      <c r="N196" s="2173" t="s">
        <v>1217</v>
      </c>
      <c r="O196" s="2174" t="s">
        <v>4391</v>
      </c>
      <c r="P196" s="586" t="s">
        <v>15</v>
      </c>
      <c r="Q196" s="546"/>
      <c r="R196" s="177"/>
      <c r="S196" s="403"/>
      <c r="T196" s="525" t="s">
        <v>1326</v>
      </c>
      <c r="U196" s="525" t="s">
        <v>330</v>
      </c>
      <c r="W196" s="446" t="s">
        <v>1771</v>
      </c>
      <c r="X196" s="446" t="s">
        <v>3410</v>
      </c>
      <c r="Z196" s="446"/>
      <c r="AA196" s="28"/>
      <c r="AB196" s="28"/>
      <c r="AC196" s="997"/>
      <c r="AD196" s="536"/>
    </row>
    <row r="197" spans="2:30" ht="10.5" customHeight="1">
      <c r="B197" s="292"/>
      <c r="C197" s="394" t="s">
        <v>676</v>
      </c>
      <c r="D197" s="460">
        <v>39600</v>
      </c>
      <c r="E197" s="292"/>
      <c r="F197" s="292" t="s">
        <v>1370</v>
      </c>
      <c r="G197" s="1079" t="s">
        <v>198</v>
      </c>
      <c r="H197" s="1079" t="s">
        <v>1223</v>
      </c>
      <c r="I197" s="1080" t="s">
        <v>199</v>
      </c>
      <c r="J197" s="1080" t="s">
        <v>2629</v>
      </c>
      <c r="K197" s="1081" t="s">
        <v>633</v>
      </c>
      <c r="L197" s="1082" t="s">
        <v>425</v>
      </c>
      <c r="M197" s="2175" t="s">
        <v>2616</v>
      </c>
      <c r="N197" s="2175" t="s">
        <v>1795</v>
      </c>
      <c r="O197" s="2174" t="s">
        <v>4392</v>
      </c>
      <c r="P197" s="586" t="s">
        <v>2251</v>
      </c>
      <c r="Q197" s="546"/>
      <c r="R197" s="177"/>
      <c r="S197" s="403"/>
      <c r="T197" s="525" t="s">
        <v>16</v>
      </c>
      <c r="U197" s="525" t="s">
        <v>1679</v>
      </c>
      <c r="W197" s="446" t="s">
        <v>2080</v>
      </c>
      <c r="X197" s="446" t="s">
        <v>3410</v>
      </c>
      <c r="Z197" s="446"/>
      <c r="AA197" s="28"/>
      <c r="AB197" s="28"/>
      <c r="AC197" s="997"/>
      <c r="AD197" s="536"/>
    </row>
    <row r="198" spans="2:30" ht="10.5" customHeight="1">
      <c r="B198" s="292"/>
      <c r="C198" s="394" t="s">
        <v>678</v>
      </c>
      <c r="D198" s="460">
        <v>50900</v>
      </c>
      <c r="E198" s="292"/>
      <c r="F198" s="292" t="s">
        <v>1371</v>
      </c>
      <c r="G198" s="1079" t="s">
        <v>200</v>
      </c>
      <c r="H198" s="1079" t="s">
        <v>1323</v>
      </c>
      <c r="I198" s="1083" t="s">
        <v>772</v>
      </c>
      <c r="J198" s="1083" t="s">
        <v>2630</v>
      </c>
      <c r="K198" s="1081" t="s">
        <v>2593</v>
      </c>
      <c r="L198" s="1082" t="s">
        <v>426</v>
      </c>
      <c r="M198" s="2173" t="s">
        <v>1207</v>
      </c>
      <c r="N198" s="2173" t="s">
        <v>1217</v>
      </c>
      <c r="O198" s="2174" t="s">
        <v>4393</v>
      </c>
      <c r="P198" s="586" t="s">
        <v>2253</v>
      </c>
      <c r="Q198" s="546"/>
      <c r="R198" s="177"/>
      <c r="S198" s="403"/>
      <c r="T198" s="525" t="s">
        <v>2252</v>
      </c>
      <c r="U198" s="525" t="s">
        <v>1222</v>
      </c>
      <c r="W198" s="446" t="s">
        <v>2082</v>
      </c>
      <c r="X198" s="446" t="s">
        <v>3410</v>
      </c>
      <c r="Z198" s="446"/>
      <c r="AA198" s="28"/>
      <c r="AB198" s="28"/>
      <c r="AC198" s="997"/>
      <c r="AD198" s="536"/>
    </row>
    <row r="199" spans="2:30" ht="10.5" customHeight="1">
      <c r="B199" s="292"/>
      <c r="C199" s="394" t="s">
        <v>124</v>
      </c>
      <c r="D199" s="460">
        <v>51800</v>
      </c>
      <c r="E199" s="292"/>
      <c r="F199" s="292" t="s">
        <v>1372</v>
      </c>
      <c r="G199" s="1079" t="s">
        <v>201</v>
      </c>
      <c r="H199" s="1079" t="s">
        <v>1223</v>
      </c>
      <c r="I199" s="1080" t="s">
        <v>961</v>
      </c>
      <c r="J199" s="1080" t="s">
        <v>2629</v>
      </c>
      <c r="K199" s="1081" t="s">
        <v>1974</v>
      </c>
      <c r="L199" s="1082" t="s">
        <v>425</v>
      </c>
      <c r="M199" s="2175" t="s">
        <v>2616</v>
      </c>
      <c r="N199" s="2175" t="s">
        <v>1332</v>
      </c>
      <c r="O199" s="2174" t="s">
        <v>4394</v>
      </c>
      <c r="P199" s="586" t="s">
        <v>2255</v>
      </c>
      <c r="Q199" s="546"/>
      <c r="R199" s="177"/>
      <c r="S199" s="403"/>
      <c r="T199" s="292" t="s">
        <v>2254</v>
      </c>
      <c r="U199" s="292" t="s">
        <v>2260</v>
      </c>
      <c r="W199" s="446" t="s">
        <v>682</v>
      </c>
      <c r="X199" s="446" t="s">
        <v>3410</v>
      </c>
      <c r="Z199" s="446"/>
      <c r="AA199" s="28"/>
      <c r="AB199" s="28"/>
      <c r="AC199" s="536"/>
      <c r="AD199" s="536"/>
    </row>
    <row r="200" spans="2:30" ht="10.5" customHeight="1">
      <c r="B200" s="292"/>
      <c r="C200" s="394" t="s">
        <v>315</v>
      </c>
      <c r="D200" s="460">
        <v>32300</v>
      </c>
      <c r="E200" s="292"/>
      <c r="F200" s="292" t="s">
        <v>1373</v>
      </c>
      <c r="G200" s="1079" t="s">
        <v>962</v>
      </c>
      <c r="H200" s="1079" t="s">
        <v>1223</v>
      </c>
      <c r="I200" s="1080" t="s">
        <v>963</v>
      </c>
      <c r="J200" s="1080" t="s">
        <v>2629</v>
      </c>
      <c r="K200" s="1081" t="s">
        <v>1975</v>
      </c>
      <c r="L200" s="1082" t="s">
        <v>425</v>
      </c>
      <c r="M200" s="2175" t="s">
        <v>2616</v>
      </c>
      <c r="N200" s="2175" t="s">
        <v>1795</v>
      </c>
      <c r="O200" s="2174" t="s">
        <v>4395</v>
      </c>
      <c r="P200" s="586" t="s">
        <v>2285</v>
      </c>
      <c r="Q200" s="546"/>
      <c r="R200" s="177"/>
      <c r="S200" s="403"/>
      <c r="T200" s="525" t="s">
        <v>2578</v>
      </c>
      <c r="U200" s="525" t="s">
        <v>634</v>
      </c>
      <c r="W200" s="446" t="s">
        <v>1259</v>
      </c>
      <c r="X200" s="446" t="s">
        <v>3410</v>
      </c>
      <c r="Z200" s="446"/>
      <c r="AA200" s="28"/>
      <c r="AB200" s="28"/>
      <c r="AC200" s="997"/>
      <c r="AD200" s="536"/>
    </row>
    <row r="201" spans="2:30" ht="10.5" customHeight="1">
      <c r="B201" s="292"/>
      <c r="C201" s="394" t="s">
        <v>774</v>
      </c>
      <c r="D201" s="460">
        <v>52700</v>
      </c>
      <c r="E201" s="292"/>
      <c r="F201" s="292" t="s">
        <v>1374</v>
      </c>
      <c r="G201" s="1079" t="s">
        <v>964</v>
      </c>
      <c r="H201" s="1079" t="s">
        <v>1223</v>
      </c>
      <c r="I201" s="1083" t="s">
        <v>1795</v>
      </c>
      <c r="J201" s="1083" t="s">
        <v>2630</v>
      </c>
      <c r="K201" s="1081" t="s">
        <v>1171</v>
      </c>
      <c r="L201" s="1082" t="s">
        <v>426</v>
      </c>
      <c r="M201" s="2175" t="s">
        <v>1207</v>
      </c>
      <c r="N201" s="2175" t="s">
        <v>1795</v>
      </c>
      <c r="O201" s="2174" t="s">
        <v>4396</v>
      </c>
      <c r="P201" s="586" t="s">
        <v>1786</v>
      </c>
      <c r="Q201" s="546"/>
      <c r="R201" s="177"/>
      <c r="S201" s="403"/>
      <c r="T201" s="525" t="s">
        <v>2256</v>
      </c>
      <c r="U201" s="525" t="s">
        <v>122</v>
      </c>
      <c r="W201" s="446" t="s">
        <v>1261</v>
      </c>
      <c r="X201" s="446" t="s">
        <v>3410</v>
      </c>
      <c r="Z201" s="446"/>
      <c r="AA201" s="28"/>
      <c r="AB201" s="28"/>
      <c r="AC201" s="997"/>
      <c r="AD201" s="536"/>
    </row>
    <row r="202" spans="2:30" ht="10.5" customHeight="1">
      <c r="B202" s="292"/>
      <c r="C202" s="394" t="s">
        <v>319</v>
      </c>
      <c r="D202" s="460">
        <v>48700</v>
      </c>
      <c r="E202" s="292"/>
      <c r="F202" s="292" t="s">
        <v>1375</v>
      </c>
      <c r="G202" s="1079" t="s">
        <v>882</v>
      </c>
      <c r="H202" s="1079" t="s">
        <v>1323</v>
      </c>
      <c r="I202" s="1083" t="s">
        <v>772</v>
      </c>
      <c r="J202" s="1083" t="s">
        <v>2630</v>
      </c>
      <c r="K202" s="1081" t="s">
        <v>2593</v>
      </c>
      <c r="L202" s="1082" t="s">
        <v>426</v>
      </c>
      <c r="M202" s="2173" t="s">
        <v>1207</v>
      </c>
      <c r="N202" s="2173" t="s">
        <v>1217</v>
      </c>
      <c r="O202" s="2174" t="s">
        <v>4397</v>
      </c>
      <c r="P202" s="586" t="s">
        <v>1788</v>
      </c>
      <c r="Q202" s="546"/>
      <c r="R202" s="177"/>
      <c r="S202" s="403"/>
      <c r="T202" s="525" t="s">
        <v>1762</v>
      </c>
      <c r="U202" s="525" t="s">
        <v>2505</v>
      </c>
      <c r="W202" s="446" t="s">
        <v>2499</v>
      </c>
      <c r="X202" s="446" t="s">
        <v>3410</v>
      </c>
      <c r="Z202" s="446"/>
      <c r="AA202" s="28"/>
      <c r="AB202" s="28"/>
      <c r="AC202" s="997"/>
      <c r="AD202" s="536"/>
    </row>
    <row r="203" spans="2:30" ht="10.5" customHeight="1">
      <c r="B203" s="292"/>
      <c r="C203" s="394" t="s">
        <v>1048</v>
      </c>
      <c r="D203" s="460">
        <v>46600</v>
      </c>
      <c r="E203" s="292"/>
      <c r="F203" s="292" t="s">
        <v>1376</v>
      </c>
      <c r="G203" s="1079" t="s">
        <v>883</v>
      </c>
      <c r="H203" s="1079" t="s">
        <v>1223</v>
      </c>
      <c r="I203" s="1080" t="s">
        <v>884</v>
      </c>
      <c r="J203" s="1080" t="s">
        <v>2629</v>
      </c>
      <c r="K203" s="1081" t="s">
        <v>1976</v>
      </c>
      <c r="L203" s="1082" t="s">
        <v>425</v>
      </c>
      <c r="M203" s="2175" t="s">
        <v>2616</v>
      </c>
      <c r="N203" s="2175" t="s">
        <v>1795</v>
      </c>
      <c r="O203" s="2174" t="s">
        <v>4398</v>
      </c>
      <c r="P203" s="586" t="s">
        <v>2174</v>
      </c>
      <c r="Q203" s="546"/>
      <c r="R203" s="177"/>
      <c r="S203" s="403"/>
      <c r="T203" s="525" t="s">
        <v>1787</v>
      </c>
      <c r="U203" s="525" t="s">
        <v>1325</v>
      </c>
      <c r="W203" s="446" t="s">
        <v>2509</v>
      </c>
      <c r="X203" s="446" t="s">
        <v>3410</v>
      </c>
      <c r="Z203" s="446"/>
      <c r="AA203" s="28"/>
      <c r="AB203" s="28"/>
      <c r="AC203" s="997"/>
      <c r="AD203" s="536"/>
    </row>
    <row r="204" spans="2:30" ht="10.5" customHeight="1">
      <c r="B204" s="292"/>
      <c r="C204" s="394" t="s">
        <v>324</v>
      </c>
      <c r="D204" s="460">
        <v>48900</v>
      </c>
      <c r="E204" s="292"/>
      <c r="F204" s="292" t="s">
        <v>1377</v>
      </c>
      <c r="G204" s="1079" t="s">
        <v>885</v>
      </c>
      <c r="H204" s="1079" t="s">
        <v>1223</v>
      </c>
      <c r="I204" s="1080" t="s">
        <v>1709</v>
      </c>
      <c r="J204" s="1080" t="s">
        <v>2630</v>
      </c>
      <c r="K204" s="1081" t="s">
        <v>2599</v>
      </c>
      <c r="L204" s="1082" t="s">
        <v>426</v>
      </c>
      <c r="M204" s="2173" t="s">
        <v>2616</v>
      </c>
      <c r="N204" s="2173" t="s">
        <v>1709</v>
      </c>
      <c r="O204" s="2174" t="s">
        <v>4399</v>
      </c>
      <c r="P204" s="586" t="s">
        <v>2175</v>
      </c>
      <c r="Q204" s="546"/>
      <c r="R204" s="177"/>
      <c r="S204" s="403"/>
      <c r="T204" s="525" t="s">
        <v>1789</v>
      </c>
      <c r="U204" s="525" t="s">
        <v>2024</v>
      </c>
      <c r="W204" s="446" t="s">
        <v>88</v>
      </c>
      <c r="X204" s="446" t="s">
        <v>3410</v>
      </c>
      <c r="Z204" s="446"/>
      <c r="AA204" s="28"/>
      <c r="AB204" s="28"/>
      <c r="AC204" s="997"/>
      <c r="AD204" s="536"/>
    </row>
    <row r="205" spans="2:30" ht="10.5" customHeight="1">
      <c r="B205" s="292"/>
      <c r="C205" s="393" t="s">
        <v>326</v>
      </c>
      <c r="D205" s="460">
        <v>63600</v>
      </c>
      <c r="E205" s="292"/>
      <c r="F205" s="292" t="s">
        <v>1378</v>
      </c>
      <c r="G205" s="1079" t="s">
        <v>886</v>
      </c>
      <c r="H205" s="1079" t="s">
        <v>1223</v>
      </c>
      <c r="I205" s="1083" t="s">
        <v>1338</v>
      </c>
      <c r="J205" s="1083" t="s">
        <v>2630</v>
      </c>
      <c r="K205" s="1081" t="s">
        <v>1475</v>
      </c>
      <c r="L205" s="1082" t="s">
        <v>426</v>
      </c>
      <c r="M205" s="2173" t="s">
        <v>2616</v>
      </c>
      <c r="N205" s="2173" t="s">
        <v>1338</v>
      </c>
      <c r="O205" s="2174" t="s">
        <v>4400</v>
      </c>
      <c r="P205" s="586" t="s">
        <v>2460</v>
      </c>
      <c r="Q205" s="301"/>
      <c r="R205" s="177"/>
      <c r="S205" s="403"/>
      <c r="T205" s="525" t="s">
        <v>833</v>
      </c>
      <c r="U205" s="525" t="s">
        <v>2605</v>
      </c>
      <c r="W205" s="446" t="s">
        <v>1246</v>
      </c>
      <c r="X205" s="446" t="s">
        <v>3410</v>
      </c>
      <c r="Z205" s="446"/>
      <c r="AA205" s="28"/>
      <c r="AB205" s="28"/>
      <c r="AC205" s="997"/>
      <c r="AD205" s="997"/>
    </row>
    <row r="206" spans="2:30" ht="10.5" customHeight="1">
      <c r="B206" s="292"/>
      <c r="C206" s="394" t="s">
        <v>329</v>
      </c>
      <c r="D206" s="460">
        <v>44900</v>
      </c>
      <c r="E206" s="292"/>
      <c r="F206" s="587"/>
      <c r="G206" s="1079" t="s">
        <v>887</v>
      </c>
      <c r="H206" s="1079" t="s">
        <v>1323</v>
      </c>
      <c r="I206" s="1080" t="s">
        <v>888</v>
      </c>
      <c r="J206" s="1080" t="s">
        <v>2629</v>
      </c>
      <c r="K206" s="1081" t="s">
        <v>1347</v>
      </c>
      <c r="L206" s="1082" t="s">
        <v>425</v>
      </c>
      <c r="M206" s="2175" t="s">
        <v>2616</v>
      </c>
      <c r="N206" s="2175" t="s">
        <v>167</v>
      </c>
      <c r="O206" s="2174" t="s">
        <v>4401</v>
      </c>
      <c r="P206" s="586" t="s">
        <v>2462</v>
      </c>
      <c r="Q206" s="301"/>
      <c r="R206" s="177"/>
      <c r="S206" s="403"/>
      <c r="T206" s="525" t="s">
        <v>2176</v>
      </c>
      <c r="U206" s="525" t="s">
        <v>2607</v>
      </c>
      <c r="W206" s="446" t="s">
        <v>162</v>
      </c>
      <c r="X206" s="446" t="s">
        <v>3410</v>
      </c>
      <c r="Z206" s="446"/>
      <c r="AA206" s="28"/>
      <c r="AB206" s="28"/>
      <c r="AC206" s="997"/>
      <c r="AD206" s="536"/>
    </row>
    <row r="207" spans="2:30" ht="10.5" customHeight="1">
      <c r="B207" s="292"/>
      <c r="C207" s="393" t="s">
        <v>331</v>
      </c>
      <c r="D207" s="460">
        <v>33500</v>
      </c>
      <c r="E207" s="292"/>
      <c r="F207" s="587"/>
      <c r="G207" s="1079" t="s">
        <v>2258</v>
      </c>
      <c r="H207" s="1079" t="s">
        <v>1223</v>
      </c>
      <c r="I207" s="1080" t="s">
        <v>2259</v>
      </c>
      <c r="J207" s="1080" t="s">
        <v>2629</v>
      </c>
      <c r="K207" s="1081" t="s">
        <v>1348</v>
      </c>
      <c r="L207" s="1082" t="s">
        <v>425</v>
      </c>
      <c r="M207" s="2175" t="s">
        <v>2616</v>
      </c>
      <c r="N207" s="2175" t="s">
        <v>1342</v>
      </c>
      <c r="O207" s="2174" t="s">
        <v>4402</v>
      </c>
      <c r="P207" s="586" t="s">
        <v>2464</v>
      </c>
      <c r="Q207" s="301"/>
      <c r="R207" s="177"/>
      <c r="S207" s="403"/>
      <c r="T207" s="292" t="s">
        <v>2461</v>
      </c>
      <c r="U207" s="292" t="s">
        <v>1104</v>
      </c>
      <c r="W207" s="446" t="s">
        <v>904</v>
      </c>
      <c r="X207" s="446" t="s">
        <v>3410</v>
      </c>
      <c r="Z207" s="446"/>
      <c r="AA207" s="28"/>
      <c r="AB207" s="28"/>
      <c r="AC207" s="536"/>
      <c r="AD207" s="536"/>
    </row>
    <row r="208" spans="2:30" ht="10.5" customHeight="1">
      <c r="B208" s="292"/>
      <c r="C208" s="394" t="s">
        <v>333</v>
      </c>
      <c r="D208" s="460">
        <v>37300</v>
      </c>
      <c r="E208" s="292"/>
      <c r="F208" s="587"/>
      <c r="G208" s="1079" t="s">
        <v>2260</v>
      </c>
      <c r="H208" s="1079" t="s">
        <v>1223</v>
      </c>
      <c r="I208" s="1080" t="s">
        <v>660</v>
      </c>
      <c r="J208" s="1080" t="s">
        <v>2629</v>
      </c>
      <c r="K208" s="1081" t="s">
        <v>1349</v>
      </c>
      <c r="L208" s="1082" t="s">
        <v>425</v>
      </c>
      <c r="M208" s="2175" t="s">
        <v>2616</v>
      </c>
      <c r="N208" s="2175" t="s">
        <v>1338</v>
      </c>
      <c r="O208" s="2174" t="s">
        <v>4403</v>
      </c>
      <c r="P208" s="586" t="s">
        <v>2466</v>
      </c>
      <c r="Q208" s="301"/>
      <c r="R208" s="177"/>
      <c r="S208" s="403"/>
      <c r="T208" s="525" t="s">
        <v>2579</v>
      </c>
      <c r="U208" s="525" t="s">
        <v>321</v>
      </c>
      <c r="W208" s="446" t="s">
        <v>2156</v>
      </c>
      <c r="X208" s="446" t="s">
        <v>3410</v>
      </c>
      <c r="Z208" s="446"/>
      <c r="AA208" s="28"/>
      <c r="AB208" s="28"/>
      <c r="AC208" s="997"/>
      <c r="AD208" s="1000"/>
    </row>
    <row r="209" spans="2:30" ht="10.5" customHeight="1">
      <c r="B209" s="292"/>
      <c r="C209" s="394" t="s">
        <v>335</v>
      </c>
      <c r="D209" s="460">
        <v>46300</v>
      </c>
      <c r="E209" s="292"/>
      <c r="F209" s="587"/>
      <c r="G209" s="1079" t="s">
        <v>661</v>
      </c>
      <c r="H209" s="1079" t="s">
        <v>1323</v>
      </c>
      <c r="I209" s="1080" t="s">
        <v>662</v>
      </c>
      <c r="J209" s="1080" t="s">
        <v>2629</v>
      </c>
      <c r="K209" s="1081" t="s">
        <v>1350</v>
      </c>
      <c r="L209" s="1082" t="s">
        <v>425</v>
      </c>
      <c r="M209" s="2175" t="s">
        <v>2616</v>
      </c>
      <c r="N209" s="2175" t="s">
        <v>1217</v>
      </c>
      <c r="O209" s="2174" t="s">
        <v>4404</v>
      </c>
      <c r="P209" s="586" t="s">
        <v>2467</v>
      </c>
      <c r="Q209" s="301"/>
      <c r="R209" s="177"/>
      <c r="S209" s="403"/>
      <c r="T209" s="525" t="s">
        <v>2463</v>
      </c>
      <c r="U209" s="525" t="s">
        <v>1935</v>
      </c>
      <c r="W209" s="446" t="s">
        <v>2074</v>
      </c>
      <c r="X209" s="446" t="s">
        <v>3410</v>
      </c>
      <c r="Z209" s="446"/>
      <c r="AA209" s="28"/>
      <c r="AB209" s="28"/>
      <c r="AC209" s="997"/>
      <c r="AD209" s="536"/>
    </row>
    <row r="210" spans="2:30" ht="10.5" customHeight="1">
      <c r="B210" s="292"/>
      <c r="C210" s="394" t="s">
        <v>775</v>
      </c>
      <c r="D210" s="460">
        <v>51600</v>
      </c>
      <c r="E210" s="292"/>
      <c r="F210" s="587"/>
      <c r="G210" s="1079" t="s">
        <v>663</v>
      </c>
      <c r="H210" s="1079" t="s">
        <v>1323</v>
      </c>
      <c r="I210" s="1083" t="s">
        <v>772</v>
      </c>
      <c r="J210" s="1083" t="s">
        <v>2630</v>
      </c>
      <c r="K210" s="1081" t="s">
        <v>2593</v>
      </c>
      <c r="L210" s="1082" t="s">
        <v>426</v>
      </c>
      <c r="M210" s="2173" t="s">
        <v>1207</v>
      </c>
      <c r="N210" s="2173" t="s">
        <v>1217</v>
      </c>
      <c r="O210" s="2174" t="s">
        <v>4405</v>
      </c>
      <c r="P210" s="586" t="s">
        <v>2246</v>
      </c>
      <c r="Q210" s="301"/>
      <c r="R210" s="177"/>
      <c r="S210" s="403"/>
      <c r="T210" s="525" t="s">
        <v>2465</v>
      </c>
      <c r="U210" s="525" t="s">
        <v>883</v>
      </c>
      <c r="W210" s="446" t="s">
        <v>605</v>
      </c>
      <c r="X210" s="446" t="s">
        <v>3410</v>
      </c>
      <c r="Z210" s="446"/>
      <c r="AA210" s="28"/>
      <c r="AB210" s="28"/>
      <c r="AC210" s="997"/>
      <c r="AD210" s="536"/>
    </row>
    <row r="211" spans="2:30" ht="10.5" customHeight="1">
      <c r="B211" s="292"/>
      <c r="C211" s="394" t="s">
        <v>1466</v>
      </c>
      <c r="D211" s="460">
        <v>44200</v>
      </c>
      <c r="E211" s="292"/>
      <c r="F211" s="587"/>
      <c r="G211" s="1079" t="s">
        <v>664</v>
      </c>
      <c r="H211" s="1079" t="s">
        <v>1323</v>
      </c>
      <c r="I211" s="1083" t="s">
        <v>2284</v>
      </c>
      <c r="J211" s="1083" t="s">
        <v>2630</v>
      </c>
      <c r="K211" s="1081" t="s">
        <v>1351</v>
      </c>
      <c r="L211" s="1082" t="s">
        <v>426</v>
      </c>
      <c r="M211" s="2175" t="s">
        <v>1207</v>
      </c>
      <c r="N211" s="2175" t="s">
        <v>1217</v>
      </c>
      <c r="O211" s="2174" t="s">
        <v>4406</v>
      </c>
      <c r="P211" s="586" t="s">
        <v>715</v>
      </c>
      <c r="Q211" s="301"/>
      <c r="R211" s="177"/>
      <c r="S211" s="403"/>
      <c r="T211" s="525" t="s">
        <v>2468</v>
      </c>
      <c r="U211" s="525" t="s">
        <v>160</v>
      </c>
      <c r="W211" s="446" t="s">
        <v>607</v>
      </c>
      <c r="X211" s="446" t="s">
        <v>3410</v>
      </c>
      <c r="Z211" s="446"/>
      <c r="AA211" s="28"/>
      <c r="AB211" s="28"/>
      <c r="AC211" s="997"/>
      <c r="AD211" s="536"/>
    </row>
    <row r="212" spans="2:30" ht="10.5" customHeight="1">
      <c r="B212" s="292"/>
      <c r="C212" s="394" t="s">
        <v>1470</v>
      </c>
      <c r="D212" s="460">
        <v>47200</v>
      </c>
      <c r="E212" s="292"/>
      <c r="F212" s="587"/>
      <c r="G212" s="1079" t="s">
        <v>665</v>
      </c>
      <c r="H212" s="1079" t="s">
        <v>1323</v>
      </c>
      <c r="I212" s="1083" t="s">
        <v>772</v>
      </c>
      <c r="J212" s="1083" t="s">
        <v>2630</v>
      </c>
      <c r="K212" s="1081" t="s">
        <v>2593</v>
      </c>
      <c r="L212" s="1082" t="s">
        <v>426</v>
      </c>
      <c r="M212" s="2173" t="s">
        <v>1207</v>
      </c>
      <c r="N212" s="2173" t="s">
        <v>1217</v>
      </c>
      <c r="O212" s="2174" t="s">
        <v>4407</v>
      </c>
      <c r="P212" s="586" t="s">
        <v>717</v>
      </c>
      <c r="Q212" s="301"/>
      <c r="R212" s="177"/>
      <c r="S212" s="403"/>
      <c r="T212" s="525" t="s">
        <v>2247</v>
      </c>
      <c r="U212" s="525" t="s">
        <v>661</v>
      </c>
      <c r="W212" s="446" t="s">
        <v>2549</v>
      </c>
      <c r="X212" s="446" t="s">
        <v>3410</v>
      </c>
      <c r="Z212" s="446"/>
      <c r="AA212" s="28"/>
      <c r="AB212" s="28"/>
      <c r="AC212" s="997"/>
      <c r="AD212" s="536"/>
    </row>
    <row r="213" spans="2:30" ht="10.5" customHeight="1">
      <c r="B213" s="292"/>
      <c r="C213" s="394" t="s">
        <v>1472</v>
      </c>
      <c r="D213" s="460">
        <v>57500</v>
      </c>
      <c r="E213" s="292"/>
      <c r="F213" s="587"/>
      <c r="G213" s="1079" t="s">
        <v>666</v>
      </c>
      <c r="H213" s="1079" t="s">
        <v>1323</v>
      </c>
      <c r="I213" s="1083" t="s">
        <v>667</v>
      </c>
      <c r="J213" s="1083" t="s">
        <v>2629</v>
      </c>
      <c r="K213" s="1081" t="s">
        <v>1352</v>
      </c>
      <c r="L213" s="1082" t="s">
        <v>425</v>
      </c>
      <c r="M213" s="2175" t="s">
        <v>2616</v>
      </c>
      <c r="N213" s="2175" t="s">
        <v>167</v>
      </c>
      <c r="O213" s="2174" t="s">
        <v>4408</v>
      </c>
      <c r="P213" s="586" t="s">
        <v>719</v>
      </c>
      <c r="Q213" s="301"/>
      <c r="R213" s="177"/>
      <c r="S213" s="403"/>
      <c r="T213" s="525" t="s">
        <v>716</v>
      </c>
      <c r="U213" s="525" t="s">
        <v>2497</v>
      </c>
      <c r="W213" s="446" t="s">
        <v>611</v>
      </c>
      <c r="X213" s="446" t="s">
        <v>3410</v>
      </c>
      <c r="Z213" s="446"/>
      <c r="AA213" s="28"/>
      <c r="AB213" s="28"/>
      <c r="AC213" s="997"/>
      <c r="AD213" s="536"/>
    </row>
    <row r="214" spans="2:30" ht="10.5" customHeight="1">
      <c r="B214" s="292"/>
      <c r="C214" s="394" t="s">
        <v>178</v>
      </c>
      <c r="D214" s="460">
        <v>58300</v>
      </c>
      <c r="E214" s="292"/>
      <c r="F214" s="587"/>
      <c r="G214" s="1079" t="s">
        <v>1218</v>
      </c>
      <c r="H214" s="1079" t="s">
        <v>1323</v>
      </c>
      <c r="I214" s="1083" t="s">
        <v>772</v>
      </c>
      <c r="J214" s="1083" t="s">
        <v>2630</v>
      </c>
      <c r="K214" s="1081" t="s">
        <v>2593</v>
      </c>
      <c r="L214" s="1082" t="s">
        <v>426</v>
      </c>
      <c r="M214" s="2173" t="s">
        <v>1207</v>
      </c>
      <c r="N214" s="2173" t="s">
        <v>1217</v>
      </c>
      <c r="O214" s="2174" t="s">
        <v>4409</v>
      </c>
      <c r="P214" s="586" t="s">
        <v>721</v>
      </c>
      <c r="Q214" s="301"/>
      <c r="R214" s="177"/>
      <c r="S214" s="403"/>
      <c r="T214" s="525" t="s">
        <v>718</v>
      </c>
      <c r="U214" s="525" t="s">
        <v>1119</v>
      </c>
      <c r="W214" s="446" t="s">
        <v>551</v>
      </c>
      <c r="X214" s="446" t="s">
        <v>3410</v>
      </c>
      <c r="Z214" s="446"/>
      <c r="AA214" s="28"/>
      <c r="AB214" s="28"/>
      <c r="AC214" s="997"/>
      <c r="AD214" s="536"/>
    </row>
    <row r="215" spans="2:30" ht="10.5" customHeight="1">
      <c r="B215" s="292"/>
      <c r="C215" s="394" t="s">
        <v>1332</v>
      </c>
      <c r="D215" s="460">
        <v>49600</v>
      </c>
      <c r="E215" s="292"/>
      <c r="F215" s="587"/>
      <c r="G215" s="1079" t="s">
        <v>668</v>
      </c>
      <c r="H215" s="1079" t="s">
        <v>1323</v>
      </c>
      <c r="I215" s="1080" t="s">
        <v>669</v>
      </c>
      <c r="J215" s="1080" t="s">
        <v>2629</v>
      </c>
      <c r="K215" s="1081" t="s">
        <v>241</v>
      </c>
      <c r="L215" s="1082" t="s">
        <v>425</v>
      </c>
      <c r="M215" s="2175" t="s">
        <v>2616</v>
      </c>
      <c r="N215" s="2175" t="s">
        <v>1217</v>
      </c>
      <c r="O215" s="2174" t="s">
        <v>4410</v>
      </c>
      <c r="P215" s="586" t="s">
        <v>2238</v>
      </c>
      <c r="Q215" s="301"/>
      <c r="R215" s="177"/>
      <c r="S215" s="403"/>
      <c r="T215" s="292" t="s">
        <v>720</v>
      </c>
      <c r="U215" s="292" t="s">
        <v>2607</v>
      </c>
      <c r="W215" s="446" t="s">
        <v>754</v>
      </c>
      <c r="X215" s="446" t="s">
        <v>3410</v>
      </c>
      <c r="Z215" s="446"/>
      <c r="AA215" s="28"/>
      <c r="AB215" s="28"/>
      <c r="AC215" s="536"/>
      <c r="AD215" s="536"/>
    </row>
    <row r="216" spans="2:30" ht="10.5" customHeight="1">
      <c r="B216" s="292"/>
      <c r="C216" s="394" t="s">
        <v>179</v>
      </c>
      <c r="D216" s="460">
        <v>39700</v>
      </c>
      <c r="E216" s="292"/>
      <c r="F216" s="587"/>
      <c r="G216" s="1079" t="s">
        <v>670</v>
      </c>
      <c r="H216" s="1079" t="s">
        <v>1323</v>
      </c>
      <c r="I216" s="1083" t="s">
        <v>671</v>
      </c>
      <c r="J216" s="1083" t="s">
        <v>2629</v>
      </c>
      <c r="K216" s="1081" t="s">
        <v>242</v>
      </c>
      <c r="L216" s="1082" t="s">
        <v>425</v>
      </c>
      <c r="M216" s="2175" t="s">
        <v>2616</v>
      </c>
      <c r="N216" s="2175" t="s">
        <v>1342</v>
      </c>
      <c r="O216" s="2174" t="s">
        <v>4411</v>
      </c>
      <c r="P216" s="586" t="s">
        <v>2239</v>
      </c>
      <c r="Q216" s="301"/>
      <c r="R216" s="177"/>
      <c r="S216" s="403"/>
      <c r="T216" s="525" t="s">
        <v>2580</v>
      </c>
      <c r="U216" s="525" t="s">
        <v>2499</v>
      </c>
      <c r="W216" s="446" t="s">
        <v>38</v>
      </c>
      <c r="X216" s="446" t="s">
        <v>3410</v>
      </c>
      <c r="Z216" s="446"/>
      <c r="AA216" s="28"/>
      <c r="AB216" s="28"/>
      <c r="AC216" s="997"/>
      <c r="AD216" s="536"/>
    </row>
    <row r="217" spans="2:30" ht="10.5" customHeight="1">
      <c r="B217" s="292"/>
      <c r="C217" s="394" t="s">
        <v>777</v>
      </c>
      <c r="D217" s="460">
        <v>44800</v>
      </c>
      <c r="E217" s="292"/>
      <c r="F217" s="587"/>
      <c r="G217" s="1079" t="s">
        <v>672</v>
      </c>
      <c r="H217" s="1079" t="s">
        <v>1223</v>
      </c>
      <c r="I217" s="1080" t="s">
        <v>11</v>
      </c>
      <c r="J217" s="1080" t="s">
        <v>2630</v>
      </c>
      <c r="K217" s="1081" t="s">
        <v>2598</v>
      </c>
      <c r="L217" s="1082" t="s">
        <v>426</v>
      </c>
      <c r="M217" s="2175" t="s">
        <v>1207</v>
      </c>
      <c r="N217" s="2175" t="s">
        <v>1338</v>
      </c>
      <c r="O217" s="2174" t="s">
        <v>4412</v>
      </c>
      <c r="P217" s="586" t="s">
        <v>2241</v>
      </c>
      <c r="Q217" s="301"/>
      <c r="R217" s="177"/>
      <c r="S217" s="403"/>
      <c r="T217" s="525" t="s">
        <v>2240</v>
      </c>
      <c r="U217" s="525" t="s">
        <v>1679</v>
      </c>
      <c r="W217" s="446" t="s">
        <v>1983</v>
      </c>
      <c r="X217" s="446" t="s">
        <v>3410</v>
      </c>
      <c r="Z217" s="446"/>
      <c r="AA217" s="28"/>
      <c r="AB217" s="28"/>
      <c r="AC217" s="997"/>
      <c r="AD217" s="536"/>
    </row>
    <row r="218" spans="2:30" ht="10.5" customHeight="1">
      <c r="B218" s="292"/>
      <c r="C218" s="394" t="s">
        <v>1645</v>
      </c>
      <c r="D218" s="460">
        <v>41800</v>
      </c>
      <c r="E218" s="292"/>
      <c r="F218" s="587"/>
      <c r="G218" s="1079" t="s">
        <v>673</v>
      </c>
      <c r="H218" s="1079" t="s">
        <v>1323</v>
      </c>
      <c r="I218" s="1080" t="s">
        <v>674</v>
      </c>
      <c r="J218" s="1080" t="s">
        <v>2629</v>
      </c>
      <c r="K218" s="1081" t="s">
        <v>243</v>
      </c>
      <c r="L218" s="1082" t="s">
        <v>425</v>
      </c>
      <c r="M218" s="2175" t="s">
        <v>2616</v>
      </c>
      <c r="N218" s="2175" t="s">
        <v>1217</v>
      </c>
      <c r="O218" s="2174" t="s">
        <v>4413</v>
      </c>
      <c r="P218" s="586" t="s">
        <v>690</v>
      </c>
      <c r="Q218" s="301"/>
      <c r="R218" s="177"/>
      <c r="S218" s="403"/>
      <c r="T218" s="525" t="s">
        <v>2242</v>
      </c>
      <c r="U218" s="525" t="s">
        <v>2601</v>
      </c>
      <c r="W218" s="446" t="s">
        <v>337</v>
      </c>
      <c r="X218" s="446" t="s">
        <v>3410</v>
      </c>
      <c r="Z218" s="446"/>
      <c r="AA218" s="28"/>
      <c r="AB218" s="28"/>
      <c r="AC218" s="997"/>
      <c r="AD218" s="536"/>
    </row>
    <row r="219" spans="2:30" ht="10.5" customHeight="1">
      <c r="B219" s="292"/>
      <c r="C219" s="394" t="s">
        <v>1647</v>
      </c>
      <c r="D219" s="460">
        <v>39700</v>
      </c>
      <c r="E219" s="292"/>
      <c r="F219" s="587"/>
      <c r="G219" s="1079" t="s">
        <v>675</v>
      </c>
      <c r="H219" s="1079" t="s">
        <v>1223</v>
      </c>
      <c r="I219" s="1080" t="s">
        <v>676</v>
      </c>
      <c r="J219" s="1080" t="s">
        <v>2629</v>
      </c>
      <c r="K219" s="1081" t="s">
        <v>405</v>
      </c>
      <c r="L219" s="1082" t="s">
        <v>425</v>
      </c>
      <c r="M219" s="2175" t="s">
        <v>2616</v>
      </c>
      <c r="N219" s="2175" t="s">
        <v>1795</v>
      </c>
      <c r="O219" s="2174" t="s">
        <v>4414</v>
      </c>
      <c r="P219" s="586" t="s">
        <v>797</v>
      </c>
      <c r="Q219" s="301"/>
      <c r="R219" s="177"/>
      <c r="S219" s="403"/>
      <c r="T219" s="525" t="s">
        <v>691</v>
      </c>
      <c r="U219" s="525" t="s">
        <v>741</v>
      </c>
      <c r="W219" s="446" t="s">
        <v>345</v>
      </c>
      <c r="X219" s="446" t="s">
        <v>3410</v>
      </c>
      <c r="Z219" s="446"/>
      <c r="AA219" s="28"/>
      <c r="AB219" s="28"/>
      <c r="AC219" s="997"/>
      <c r="AD219" s="536"/>
    </row>
    <row r="220" spans="2:30" ht="10.5" customHeight="1">
      <c r="B220" s="292"/>
      <c r="C220" s="394" t="s">
        <v>2058</v>
      </c>
      <c r="D220" s="460">
        <v>59300</v>
      </c>
      <c r="E220" s="292"/>
      <c r="F220" s="587"/>
      <c r="G220" s="1079" t="s">
        <v>677</v>
      </c>
      <c r="H220" s="1079" t="s">
        <v>1323</v>
      </c>
      <c r="I220" s="1080" t="s">
        <v>678</v>
      </c>
      <c r="J220" s="1080" t="s">
        <v>2629</v>
      </c>
      <c r="K220" s="1081" t="s">
        <v>406</v>
      </c>
      <c r="L220" s="1082" t="s">
        <v>425</v>
      </c>
      <c r="M220" s="2175" t="s">
        <v>2616</v>
      </c>
      <c r="N220" s="2175" t="s">
        <v>167</v>
      </c>
      <c r="O220" s="2174" t="s">
        <v>4415</v>
      </c>
      <c r="P220" s="586" t="s">
        <v>2287</v>
      </c>
      <c r="Q220" s="301"/>
      <c r="R220" s="177"/>
      <c r="S220" s="403"/>
      <c r="T220" s="525" t="s">
        <v>2286</v>
      </c>
      <c r="U220" s="525" t="s">
        <v>318</v>
      </c>
      <c r="W220" s="446" t="s">
        <v>197</v>
      </c>
      <c r="X220" s="446" t="s">
        <v>3410</v>
      </c>
      <c r="Z220" s="446"/>
      <c r="AA220" s="28"/>
      <c r="AB220" s="28"/>
      <c r="AC220" s="997"/>
      <c r="AD220" s="536"/>
    </row>
    <row r="221" spans="2:30" ht="10.5" customHeight="1">
      <c r="B221" s="292"/>
      <c r="C221" s="394" t="s">
        <v>186</v>
      </c>
      <c r="D221" s="460">
        <v>46100</v>
      </c>
      <c r="E221" s="292"/>
      <c r="F221" s="587"/>
      <c r="G221" s="1079" t="s">
        <v>122</v>
      </c>
      <c r="H221" s="1079" t="s">
        <v>1323</v>
      </c>
      <c r="I221" s="1083" t="s">
        <v>772</v>
      </c>
      <c r="J221" s="1083" t="s">
        <v>2630</v>
      </c>
      <c r="K221" s="1081" t="s">
        <v>2593</v>
      </c>
      <c r="L221" s="1082" t="s">
        <v>426</v>
      </c>
      <c r="M221" s="2173" t="s">
        <v>1207</v>
      </c>
      <c r="N221" s="2173" t="s">
        <v>1217</v>
      </c>
      <c r="O221" s="2174" t="s">
        <v>4416</v>
      </c>
      <c r="P221" s="586" t="s">
        <v>2316</v>
      </c>
      <c r="Q221" s="301"/>
      <c r="R221" s="177"/>
      <c r="S221" s="403"/>
      <c r="T221" s="525" t="s">
        <v>2347</v>
      </c>
      <c r="U221" s="525" t="s">
        <v>887</v>
      </c>
      <c r="W221" s="446" t="s">
        <v>2171</v>
      </c>
      <c r="X221" s="446" t="s">
        <v>3410</v>
      </c>
      <c r="Z221" s="446"/>
      <c r="AA221" s="28"/>
      <c r="AB221" s="28"/>
      <c r="AC221" s="997"/>
      <c r="AD221" s="536"/>
    </row>
    <row r="222" spans="2:30" ht="10.5" customHeight="1">
      <c r="B222" s="292"/>
      <c r="C222" s="393" t="s">
        <v>2602</v>
      </c>
      <c r="D222" s="460">
        <v>58400</v>
      </c>
      <c r="E222" s="292"/>
      <c r="F222" s="587"/>
      <c r="G222" s="1079" t="s">
        <v>123</v>
      </c>
      <c r="H222" s="1079" t="s">
        <v>1323</v>
      </c>
      <c r="I222" s="1080" t="s">
        <v>124</v>
      </c>
      <c r="J222" s="1080" t="s">
        <v>2629</v>
      </c>
      <c r="K222" s="1081" t="s">
        <v>407</v>
      </c>
      <c r="L222" s="1082" t="s">
        <v>425</v>
      </c>
      <c r="M222" s="2175" t="s">
        <v>2616</v>
      </c>
      <c r="N222" s="2175" t="s">
        <v>167</v>
      </c>
      <c r="O222" s="2174" t="s">
        <v>4417</v>
      </c>
      <c r="P222" s="586" t="s">
        <v>46</v>
      </c>
      <c r="Q222" s="301"/>
      <c r="R222" s="177"/>
      <c r="S222" s="403"/>
      <c r="T222" s="525" t="s">
        <v>47</v>
      </c>
      <c r="U222" s="525" t="s">
        <v>325</v>
      </c>
      <c r="W222" s="446" t="s">
        <v>198</v>
      </c>
      <c r="X222" s="446" t="s">
        <v>3410</v>
      </c>
      <c r="Z222" s="446"/>
      <c r="AA222" s="28"/>
      <c r="AB222" s="28"/>
      <c r="AC222" s="999"/>
      <c r="AD222" s="536"/>
    </row>
    <row r="223" spans="2:30" ht="10.5" customHeight="1">
      <c r="B223" s="292"/>
      <c r="C223" s="394" t="s">
        <v>2604</v>
      </c>
      <c r="D223" s="460">
        <v>43500</v>
      </c>
      <c r="E223" s="292"/>
      <c r="F223" s="587"/>
      <c r="G223" s="1079" t="s">
        <v>313</v>
      </c>
      <c r="H223" s="1079" t="s">
        <v>1323</v>
      </c>
      <c r="I223" s="1080" t="s">
        <v>1233</v>
      </c>
      <c r="J223" s="1080" t="s">
        <v>2630</v>
      </c>
      <c r="K223" s="1081" t="s">
        <v>408</v>
      </c>
      <c r="L223" s="1082" t="s">
        <v>426</v>
      </c>
      <c r="M223" s="2175" t="s">
        <v>1207</v>
      </c>
      <c r="N223" s="2175" t="s">
        <v>1217</v>
      </c>
      <c r="O223" s="2174" t="s">
        <v>4418</v>
      </c>
      <c r="P223" s="586" t="s">
        <v>639</v>
      </c>
      <c r="Q223" s="301"/>
      <c r="R223" s="177"/>
      <c r="S223" s="403"/>
      <c r="T223" s="525" t="s">
        <v>640</v>
      </c>
      <c r="U223" s="525" t="s">
        <v>2609</v>
      </c>
      <c r="W223" s="446" t="s">
        <v>384</v>
      </c>
      <c r="X223" s="446" t="s">
        <v>3410</v>
      </c>
      <c r="Z223" s="446"/>
      <c r="AA223" s="28"/>
      <c r="AB223" s="28"/>
      <c r="AC223" s="997"/>
      <c r="AD223" s="536"/>
    </row>
    <row r="224" spans="2:30" ht="10.5" customHeight="1">
      <c r="B224" s="292"/>
      <c r="C224" s="394" t="s">
        <v>1102</v>
      </c>
      <c r="D224" s="460">
        <v>51700</v>
      </c>
      <c r="E224" s="292"/>
      <c r="F224" s="587"/>
      <c r="G224" s="1084" t="s">
        <v>314</v>
      </c>
      <c r="H224" s="1079" t="s">
        <v>1323</v>
      </c>
      <c r="I224" s="1080" t="s">
        <v>315</v>
      </c>
      <c r="J224" s="1080" t="s">
        <v>2629</v>
      </c>
      <c r="K224" s="1081" t="s">
        <v>409</v>
      </c>
      <c r="L224" s="1082" t="s">
        <v>425</v>
      </c>
      <c r="M224" s="2175" t="s">
        <v>2616</v>
      </c>
      <c r="N224" s="2175" t="s">
        <v>1332</v>
      </c>
      <c r="O224" s="2174" t="s">
        <v>4419</v>
      </c>
      <c r="P224" s="586" t="s">
        <v>306</v>
      </c>
      <c r="Q224" s="301"/>
      <c r="R224" s="177"/>
      <c r="S224" s="403"/>
      <c r="T224" s="525" t="s">
        <v>307</v>
      </c>
      <c r="U224" s="525" t="s">
        <v>316</v>
      </c>
      <c r="W224" s="446" t="s">
        <v>882</v>
      </c>
      <c r="X224" s="446" t="s">
        <v>3410</v>
      </c>
      <c r="Z224" s="446"/>
      <c r="AA224" s="28"/>
      <c r="AB224" s="28"/>
      <c r="AC224" s="997"/>
      <c r="AD224" s="536"/>
    </row>
    <row r="225" spans="2:30" ht="10.5" customHeight="1">
      <c r="B225" s="292"/>
      <c r="C225" s="394" t="s">
        <v>1105</v>
      </c>
      <c r="D225" s="460">
        <v>51200</v>
      </c>
      <c r="E225" s="292"/>
      <c r="F225" s="587"/>
      <c r="G225" s="1079" t="s">
        <v>316</v>
      </c>
      <c r="H225" s="1079" t="s">
        <v>1323</v>
      </c>
      <c r="I225" s="1083" t="s">
        <v>774</v>
      </c>
      <c r="J225" s="1083" t="s">
        <v>2630</v>
      </c>
      <c r="K225" s="1081" t="s">
        <v>410</v>
      </c>
      <c r="L225" s="1082" t="s">
        <v>426</v>
      </c>
      <c r="M225" s="2173" t="s">
        <v>2616</v>
      </c>
      <c r="N225" s="2173" t="s">
        <v>1217</v>
      </c>
      <c r="O225" s="2174" t="s">
        <v>4420</v>
      </c>
      <c r="P225" s="586" t="s">
        <v>2385</v>
      </c>
      <c r="Q225" s="301"/>
      <c r="R225" s="177"/>
      <c r="S225" s="403"/>
      <c r="T225" s="525" t="s">
        <v>2386</v>
      </c>
      <c r="U225" s="525" t="s">
        <v>198</v>
      </c>
      <c r="W225" s="446" t="s">
        <v>1939</v>
      </c>
      <c r="X225" s="446" t="s">
        <v>3410</v>
      </c>
      <c r="Z225" s="446"/>
      <c r="AA225" s="28"/>
      <c r="AB225" s="28"/>
      <c r="AC225" s="997"/>
      <c r="AD225" s="536"/>
    </row>
    <row r="226" spans="2:30" ht="10.5" customHeight="1">
      <c r="B226" s="292"/>
      <c r="C226" s="394" t="s">
        <v>1108</v>
      </c>
      <c r="D226" s="460">
        <v>49100</v>
      </c>
      <c r="E226" s="292"/>
      <c r="F226" s="587"/>
      <c r="G226" s="1079" t="s">
        <v>317</v>
      </c>
      <c r="H226" s="1079" t="s">
        <v>1323</v>
      </c>
      <c r="I226" s="1083" t="s">
        <v>162</v>
      </c>
      <c r="J226" s="1083" t="s">
        <v>2630</v>
      </c>
      <c r="K226" s="1081" t="s">
        <v>1695</v>
      </c>
      <c r="L226" s="1082" t="s">
        <v>426</v>
      </c>
      <c r="M226" s="2173" t="s">
        <v>2616</v>
      </c>
      <c r="N226" s="2173" t="s">
        <v>162</v>
      </c>
      <c r="O226" s="2174" t="s">
        <v>4421</v>
      </c>
      <c r="P226" s="586" t="s">
        <v>2408</v>
      </c>
      <c r="Q226" s="301"/>
      <c r="R226" s="177"/>
      <c r="S226" s="403"/>
      <c r="T226" s="525" t="s">
        <v>2409</v>
      </c>
      <c r="U226" s="525" t="s">
        <v>1678</v>
      </c>
      <c r="W226" s="446" t="s">
        <v>1943</v>
      </c>
      <c r="X226" s="446" t="s">
        <v>3410</v>
      </c>
      <c r="Z226" s="446"/>
      <c r="AA226" s="28"/>
      <c r="AB226" s="28"/>
      <c r="AC226" s="997"/>
      <c r="AD226" s="536"/>
    </row>
    <row r="227" spans="2:30" ht="10.5" customHeight="1">
      <c r="B227" s="292"/>
      <c r="C227" s="393" t="s">
        <v>1110</v>
      </c>
      <c r="D227" s="460">
        <v>47200</v>
      </c>
      <c r="E227" s="292"/>
      <c r="F227" s="587"/>
      <c r="G227" s="1079" t="s">
        <v>318</v>
      </c>
      <c r="H227" s="1079" t="s">
        <v>1323</v>
      </c>
      <c r="I227" s="1080" t="s">
        <v>319</v>
      </c>
      <c r="J227" s="1080" t="s">
        <v>2629</v>
      </c>
      <c r="K227" s="1081" t="s">
        <v>411</v>
      </c>
      <c r="L227" s="1082" t="s">
        <v>425</v>
      </c>
      <c r="M227" s="2175" t="s">
        <v>2616</v>
      </c>
      <c r="N227" s="2175" t="s">
        <v>167</v>
      </c>
      <c r="O227" s="2174" t="s">
        <v>4422</v>
      </c>
      <c r="P227" s="586" t="s">
        <v>2410</v>
      </c>
      <c r="Q227" s="301"/>
      <c r="R227" s="177"/>
      <c r="S227" s="403"/>
      <c r="T227" s="525" t="s">
        <v>2866</v>
      </c>
      <c r="U227" s="525" t="s">
        <v>634</v>
      </c>
      <c r="W227" s="446" t="s">
        <v>724</v>
      </c>
      <c r="X227" s="446" t="s">
        <v>3410</v>
      </c>
      <c r="Z227" s="446"/>
      <c r="AA227" s="28"/>
      <c r="AB227" s="28"/>
      <c r="AC227" s="997"/>
      <c r="AD227" s="536"/>
    </row>
    <row r="228" spans="2:30" ht="10.5" customHeight="1">
      <c r="B228" s="292"/>
      <c r="C228" s="394" t="s">
        <v>1112</v>
      </c>
      <c r="D228" s="460">
        <v>53900</v>
      </c>
      <c r="E228" s="292"/>
      <c r="F228" s="587"/>
      <c r="G228" s="1079" t="s">
        <v>320</v>
      </c>
      <c r="H228" s="1079" t="s">
        <v>1323</v>
      </c>
      <c r="I228" s="1083" t="s">
        <v>772</v>
      </c>
      <c r="J228" s="1083" t="s">
        <v>2630</v>
      </c>
      <c r="K228" s="1081" t="s">
        <v>2593</v>
      </c>
      <c r="L228" s="1082" t="s">
        <v>426</v>
      </c>
      <c r="M228" s="2173" t="s">
        <v>1207</v>
      </c>
      <c r="N228" s="2173" t="s">
        <v>1217</v>
      </c>
      <c r="O228" s="2174" t="s">
        <v>4423</v>
      </c>
      <c r="P228" s="586" t="s">
        <v>2411</v>
      </c>
      <c r="Q228" s="301"/>
      <c r="R228" s="177"/>
      <c r="S228" s="403"/>
      <c r="T228" s="525" t="s">
        <v>635</v>
      </c>
      <c r="U228" s="525" t="s">
        <v>1339</v>
      </c>
      <c r="W228" s="446" t="s">
        <v>1150</v>
      </c>
      <c r="X228" s="446" t="s">
        <v>3410</v>
      </c>
      <c r="Z228" s="446"/>
      <c r="AA228" s="28"/>
      <c r="AB228" s="28"/>
      <c r="AC228" s="997"/>
      <c r="AD228" s="536"/>
    </row>
    <row r="229" spans="2:30" ht="10.5" customHeight="1">
      <c r="B229" s="292"/>
      <c r="C229" s="394" t="s">
        <v>1114</v>
      </c>
      <c r="D229" s="460">
        <v>35000</v>
      </c>
      <c r="E229" s="292"/>
      <c r="F229" s="587"/>
      <c r="G229" s="1079" t="s">
        <v>321</v>
      </c>
      <c r="H229" s="1079" t="s">
        <v>1323</v>
      </c>
      <c r="I229" s="1083" t="s">
        <v>772</v>
      </c>
      <c r="J229" s="1083" t="s">
        <v>2630</v>
      </c>
      <c r="K229" s="1081" t="s">
        <v>2593</v>
      </c>
      <c r="L229" s="1082" t="s">
        <v>426</v>
      </c>
      <c r="M229" s="2173" t="s">
        <v>1207</v>
      </c>
      <c r="N229" s="2173" t="s">
        <v>1217</v>
      </c>
      <c r="O229" s="2174" t="s">
        <v>4424</v>
      </c>
      <c r="P229" s="586" t="s">
        <v>2377</v>
      </c>
      <c r="Q229" s="301"/>
      <c r="R229" s="177"/>
      <c r="S229" s="403"/>
      <c r="T229" s="525" t="s">
        <v>1336</v>
      </c>
      <c r="U229" s="525" t="s">
        <v>663</v>
      </c>
      <c r="W229" s="446" t="s">
        <v>1152</v>
      </c>
      <c r="X229" s="446" t="s">
        <v>3410</v>
      </c>
      <c r="Z229" s="446"/>
      <c r="AA229" s="28"/>
      <c r="AB229" s="28"/>
      <c r="AC229" s="997"/>
      <c r="AD229" s="536"/>
    </row>
    <row r="230" spans="2:30" ht="10.5" customHeight="1">
      <c r="B230" s="292"/>
      <c r="C230" s="394" t="s">
        <v>1116</v>
      </c>
      <c r="D230" s="460">
        <v>49000</v>
      </c>
      <c r="E230" s="292"/>
      <c r="F230" s="587"/>
      <c r="G230" s="1079" t="s">
        <v>322</v>
      </c>
      <c r="H230" s="1079" t="s">
        <v>1323</v>
      </c>
      <c r="I230" s="1083" t="s">
        <v>1722</v>
      </c>
      <c r="J230" s="1083" t="s">
        <v>2630</v>
      </c>
      <c r="K230" s="1081" t="s">
        <v>412</v>
      </c>
      <c r="L230" s="1082" t="s">
        <v>426</v>
      </c>
      <c r="M230" s="2175" t="s">
        <v>1207</v>
      </c>
      <c r="N230" s="2175" t="s">
        <v>1332</v>
      </c>
      <c r="O230" s="2174" t="s">
        <v>4425</v>
      </c>
      <c r="P230" s="586" t="s">
        <v>10</v>
      </c>
      <c r="Q230" s="301"/>
      <c r="R230" s="177"/>
      <c r="S230" s="403"/>
      <c r="T230" s="525" t="s">
        <v>2378</v>
      </c>
      <c r="U230" s="525" t="s">
        <v>2503</v>
      </c>
      <c r="W230" s="446" t="s">
        <v>1154</v>
      </c>
      <c r="X230" s="446" t="s">
        <v>3410</v>
      </c>
      <c r="Z230" s="446"/>
      <c r="AA230" s="28"/>
      <c r="AB230" s="28"/>
      <c r="AC230" s="997"/>
      <c r="AD230" s="536"/>
    </row>
    <row r="231" spans="2:30" ht="10.5" customHeight="1">
      <c r="B231" s="292"/>
      <c r="C231" s="393" t="s">
        <v>1118</v>
      </c>
      <c r="D231" s="460">
        <v>34600</v>
      </c>
      <c r="E231" s="292"/>
      <c r="F231" s="587"/>
      <c r="G231" s="1079" t="s">
        <v>323</v>
      </c>
      <c r="H231" s="1079" t="s">
        <v>1223</v>
      </c>
      <c r="I231" s="1080" t="s">
        <v>324</v>
      </c>
      <c r="J231" s="1080" t="s">
        <v>2629</v>
      </c>
      <c r="K231" s="1081" t="s">
        <v>654</v>
      </c>
      <c r="L231" s="1082" t="s">
        <v>425</v>
      </c>
      <c r="M231" s="2175" t="s">
        <v>2616</v>
      </c>
      <c r="N231" s="2175" t="s">
        <v>1795</v>
      </c>
      <c r="O231" s="2174" t="s">
        <v>4426</v>
      </c>
      <c r="P231" s="586" t="s">
        <v>12</v>
      </c>
      <c r="Q231" s="301"/>
      <c r="R231" s="177"/>
      <c r="S231" s="403"/>
      <c r="T231" s="525" t="s">
        <v>11</v>
      </c>
      <c r="U231" s="525" t="s">
        <v>672</v>
      </c>
      <c r="W231" s="446" t="s">
        <v>2531</v>
      </c>
      <c r="X231" s="446" t="s">
        <v>3410</v>
      </c>
      <c r="Z231" s="446"/>
      <c r="AA231" s="28"/>
      <c r="AB231" s="28"/>
      <c r="AC231" s="997"/>
      <c r="AD231" s="536"/>
    </row>
    <row r="232" spans="2:30" ht="10.5" customHeight="1">
      <c r="B232" s="292"/>
      <c r="C232" s="393" t="s">
        <v>2284</v>
      </c>
      <c r="D232" s="460">
        <v>51900</v>
      </c>
      <c r="E232" s="292"/>
      <c r="F232" s="587"/>
      <c r="G232" s="1079" t="s">
        <v>325</v>
      </c>
      <c r="H232" s="1079" t="s">
        <v>1323</v>
      </c>
      <c r="I232" s="1080" t="s">
        <v>326</v>
      </c>
      <c r="J232" s="1080" t="s">
        <v>2629</v>
      </c>
      <c r="K232" s="1081" t="s">
        <v>655</v>
      </c>
      <c r="L232" s="1082" t="s">
        <v>425</v>
      </c>
      <c r="M232" s="2175" t="s">
        <v>2616</v>
      </c>
      <c r="N232" s="2175" t="s">
        <v>1217</v>
      </c>
      <c r="O232" s="2174" t="s">
        <v>4427</v>
      </c>
      <c r="P232" s="586" t="s">
        <v>57</v>
      </c>
      <c r="Q232" s="301"/>
      <c r="R232" s="177"/>
      <c r="S232" s="403"/>
      <c r="T232" s="525" t="s">
        <v>13</v>
      </c>
      <c r="U232" s="525" t="s">
        <v>316</v>
      </c>
      <c r="W232" s="446" t="s">
        <v>459</v>
      </c>
      <c r="X232" s="446" t="s">
        <v>3410</v>
      </c>
      <c r="Z232" s="446"/>
      <c r="AA232" s="28"/>
      <c r="AB232" s="28"/>
      <c r="AC232" s="997"/>
      <c r="AD232" s="536"/>
    </row>
    <row r="233" spans="2:30" ht="10.5" customHeight="1">
      <c r="B233" s="292"/>
      <c r="C233" s="394" t="s">
        <v>1338</v>
      </c>
      <c r="D233" s="460">
        <v>64900</v>
      </c>
      <c r="E233" s="292"/>
      <c r="F233" s="587"/>
      <c r="G233" s="1079" t="s">
        <v>327</v>
      </c>
      <c r="H233" s="1079" t="s">
        <v>1323</v>
      </c>
      <c r="I233" s="1083" t="s">
        <v>772</v>
      </c>
      <c r="J233" s="1083" t="s">
        <v>2630</v>
      </c>
      <c r="K233" s="1081" t="s">
        <v>2593</v>
      </c>
      <c r="L233" s="1082" t="s">
        <v>426</v>
      </c>
      <c r="M233" s="2173" t="s">
        <v>1207</v>
      </c>
      <c r="N233" s="2173" t="s">
        <v>1217</v>
      </c>
      <c r="O233" s="2174" t="s">
        <v>4428</v>
      </c>
      <c r="P233" s="586" t="s">
        <v>59</v>
      </c>
      <c r="Q233" s="301"/>
      <c r="R233" s="177"/>
      <c r="S233" s="403"/>
      <c r="T233" s="525" t="s">
        <v>58</v>
      </c>
      <c r="U233" s="525" t="s">
        <v>2601</v>
      </c>
      <c r="W233" s="446" t="s">
        <v>303</v>
      </c>
      <c r="X233" s="446" t="s">
        <v>3410</v>
      </c>
      <c r="Z233" s="446"/>
      <c r="AA233" s="28"/>
      <c r="AB233" s="28"/>
      <c r="AC233" s="997"/>
      <c r="AD233" s="536"/>
    </row>
    <row r="234" spans="2:30" ht="10.5" customHeight="1">
      <c r="B234" s="292"/>
      <c r="C234" s="394" t="s">
        <v>2183</v>
      </c>
      <c r="D234" s="460">
        <v>51000</v>
      </c>
      <c r="E234" s="292"/>
      <c r="F234" s="587"/>
      <c r="G234" s="1079" t="s">
        <v>328</v>
      </c>
      <c r="H234" s="1079" t="s">
        <v>1223</v>
      </c>
      <c r="I234" s="1080" t="s">
        <v>329</v>
      </c>
      <c r="J234" s="1080" t="s">
        <v>2629</v>
      </c>
      <c r="K234" s="1081" t="s">
        <v>656</v>
      </c>
      <c r="L234" s="1082" t="s">
        <v>425</v>
      </c>
      <c r="M234" s="2175" t="s">
        <v>2616</v>
      </c>
      <c r="N234" s="2175" t="s">
        <v>1709</v>
      </c>
      <c r="O234" s="2174" t="s">
        <v>4429</v>
      </c>
      <c r="P234" s="586" t="s">
        <v>61</v>
      </c>
      <c r="Q234" s="301"/>
      <c r="R234" s="177"/>
      <c r="S234" s="403"/>
      <c r="T234" s="525" t="s">
        <v>60</v>
      </c>
      <c r="U234" s="525" t="s">
        <v>359</v>
      </c>
      <c r="W234" s="446" t="s">
        <v>1839</v>
      </c>
      <c r="X234" s="446" t="s">
        <v>3410</v>
      </c>
      <c r="Z234" s="446"/>
      <c r="AA234" s="28"/>
      <c r="AB234" s="28"/>
      <c r="AC234" s="997"/>
      <c r="AD234" s="536"/>
    </row>
    <row r="235" spans="2:30" ht="10.5" customHeight="1">
      <c r="B235" s="292"/>
      <c r="C235" s="394" t="s">
        <v>2185</v>
      </c>
      <c r="D235" s="460">
        <v>46500</v>
      </c>
      <c r="E235" s="292"/>
      <c r="F235" s="587"/>
      <c r="G235" s="1079" t="s">
        <v>330</v>
      </c>
      <c r="H235" s="1079" t="s">
        <v>1323</v>
      </c>
      <c r="I235" s="1080" t="s">
        <v>331</v>
      </c>
      <c r="J235" s="1080" t="s">
        <v>2629</v>
      </c>
      <c r="K235" s="1081" t="s">
        <v>266</v>
      </c>
      <c r="L235" s="1082" t="s">
        <v>425</v>
      </c>
      <c r="M235" s="2175" t="s">
        <v>2616</v>
      </c>
      <c r="N235" s="2175" t="s">
        <v>1342</v>
      </c>
      <c r="O235" s="2174" t="s">
        <v>4430</v>
      </c>
      <c r="P235" s="586" t="s">
        <v>353</v>
      </c>
      <c r="Q235" s="301"/>
      <c r="R235" s="177"/>
      <c r="S235" s="403"/>
      <c r="T235" s="525" t="s">
        <v>62</v>
      </c>
      <c r="U235" s="525" t="s">
        <v>122</v>
      </c>
      <c r="W235" s="446" t="s">
        <v>1841</v>
      </c>
      <c r="X235" s="446" t="s">
        <v>3410</v>
      </c>
      <c r="Z235" s="446"/>
      <c r="AA235" s="28"/>
      <c r="AB235" s="28"/>
      <c r="AC235" s="997"/>
      <c r="AD235" s="536"/>
    </row>
    <row r="236" spans="2:30" ht="10.5" customHeight="1">
      <c r="B236" s="292"/>
      <c r="C236" s="394" t="s">
        <v>2187</v>
      </c>
      <c r="D236" s="460">
        <v>43600</v>
      </c>
      <c r="E236" s="292"/>
      <c r="F236" s="587"/>
      <c r="G236" s="1079" t="s">
        <v>332</v>
      </c>
      <c r="H236" s="1079" t="s">
        <v>1223</v>
      </c>
      <c r="I236" s="1080" t="s">
        <v>333</v>
      </c>
      <c r="J236" s="1080" t="s">
        <v>2629</v>
      </c>
      <c r="K236" s="1081" t="s">
        <v>267</v>
      </c>
      <c r="L236" s="1082" t="s">
        <v>425</v>
      </c>
      <c r="M236" s="2175" t="s">
        <v>2616</v>
      </c>
      <c r="N236" s="2175" t="s">
        <v>1342</v>
      </c>
      <c r="O236" s="2174" t="s">
        <v>4431</v>
      </c>
      <c r="P236" s="586" t="s">
        <v>355</v>
      </c>
      <c r="Q236" s="301"/>
      <c r="R236" s="177"/>
      <c r="S236" s="403"/>
      <c r="T236" s="525" t="s">
        <v>354</v>
      </c>
      <c r="U236" s="525" t="s">
        <v>2201</v>
      </c>
      <c r="W236" s="446" t="s">
        <v>1910</v>
      </c>
      <c r="X236" s="446" t="s">
        <v>3410</v>
      </c>
      <c r="Z236" s="446"/>
      <c r="AA236" s="28"/>
      <c r="AB236" s="28"/>
      <c r="AC236" s="997"/>
      <c r="AD236" s="536"/>
    </row>
    <row r="237" spans="2:30" ht="10.5" customHeight="1">
      <c r="B237" s="292"/>
      <c r="C237" s="394" t="s">
        <v>2190</v>
      </c>
      <c r="D237" s="460">
        <v>52600</v>
      </c>
      <c r="E237" s="292"/>
      <c r="F237" s="587"/>
      <c r="G237" s="1079" t="s">
        <v>334</v>
      </c>
      <c r="H237" s="1079" t="s">
        <v>1323</v>
      </c>
      <c r="I237" s="1080" t="s">
        <v>335</v>
      </c>
      <c r="J237" s="1080" t="s">
        <v>2629</v>
      </c>
      <c r="K237" s="1081" t="s">
        <v>268</v>
      </c>
      <c r="L237" s="1082" t="s">
        <v>425</v>
      </c>
      <c r="M237" s="2175" t="s">
        <v>2616</v>
      </c>
      <c r="N237" s="2175" t="s">
        <v>1332</v>
      </c>
      <c r="O237" s="2174" t="s">
        <v>4432</v>
      </c>
      <c r="P237" s="586" t="s">
        <v>357</v>
      </c>
      <c r="Q237" s="301"/>
      <c r="R237" s="177"/>
      <c r="S237" s="403"/>
      <c r="T237" s="525" t="s">
        <v>356</v>
      </c>
      <c r="U237" s="525" t="s">
        <v>962</v>
      </c>
      <c r="W237" s="446" t="s">
        <v>2260</v>
      </c>
      <c r="X237" s="446" t="s">
        <v>3410</v>
      </c>
      <c r="Z237" s="446"/>
      <c r="AA237" s="28"/>
      <c r="AB237" s="28"/>
      <c r="AC237" s="997"/>
      <c r="AD237" s="536"/>
    </row>
    <row r="238" spans="2:30" ht="10.5" customHeight="1">
      <c r="B238" s="292"/>
      <c r="C238" s="393" t="s">
        <v>2192</v>
      </c>
      <c r="D238" s="460">
        <v>29500</v>
      </c>
      <c r="E238" s="292"/>
      <c r="F238" s="587"/>
      <c r="G238" s="1079" t="s">
        <v>430</v>
      </c>
      <c r="H238" s="1079" t="s">
        <v>1323</v>
      </c>
      <c r="I238" s="1083" t="s">
        <v>1332</v>
      </c>
      <c r="J238" s="1083" t="s">
        <v>2630</v>
      </c>
      <c r="K238" s="1081" t="s">
        <v>2596</v>
      </c>
      <c r="L238" s="1082" t="s">
        <v>426</v>
      </c>
      <c r="M238" s="2173" t="s">
        <v>2616</v>
      </c>
      <c r="N238" s="2173" t="s">
        <v>1332</v>
      </c>
      <c r="O238" s="2174" t="s">
        <v>4433</v>
      </c>
      <c r="P238" s="586" t="s">
        <v>2305</v>
      </c>
      <c r="Q238" s="301"/>
      <c r="R238" s="177"/>
      <c r="S238" s="403"/>
      <c r="T238" s="525" t="s">
        <v>358</v>
      </c>
      <c r="U238" s="525" t="s">
        <v>1101</v>
      </c>
      <c r="W238" s="446" t="s">
        <v>422</v>
      </c>
      <c r="X238" s="446" t="s">
        <v>3410</v>
      </c>
      <c r="Z238" s="446"/>
      <c r="AA238" s="28"/>
      <c r="AB238" s="28"/>
      <c r="AC238" s="997"/>
      <c r="AD238" s="536"/>
    </row>
    <row r="239" spans="2:30" ht="10.5" customHeight="1">
      <c r="B239" s="292"/>
      <c r="C239" s="393" t="s">
        <v>2194</v>
      </c>
      <c r="D239" s="460">
        <v>43200</v>
      </c>
      <c r="E239" s="292"/>
      <c r="F239" s="587"/>
      <c r="G239" s="1079" t="s">
        <v>431</v>
      </c>
      <c r="H239" s="1079" t="s">
        <v>1323</v>
      </c>
      <c r="I239" s="1083" t="s">
        <v>775</v>
      </c>
      <c r="J239" s="1083" t="s">
        <v>2630</v>
      </c>
      <c r="K239" s="1081" t="s">
        <v>269</v>
      </c>
      <c r="L239" s="1082" t="s">
        <v>426</v>
      </c>
      <c r="M239" s="2173" t="s">
        <v>2616</v>
      </c>
      <c r="N239" s="2173" t="s">
        <v>1217</v>
      </c>
      <c r="O239" s="2174" t="s">
        <v>4434</v>
      </c>
      <c r="P239" s="586" t="s">
        <v>2307</v>
      </c>
      <c r="Q239" s="301"/>
      <c r="R239" s="177"/>
      <c r="S239" s="403"/>
      <c r="T239" s="525" t="s">
        <v>636</v>
      </c>
      <c r="U239" s="525" t="s">
        <v>1465</v>
      </c>
      <c r="W239" s="446" t="s">
        <v>2297</v>
      </c>
      <c r="X239" s="446" t="s">
        <v>3410</v>
      </c>
      <c r="Z239" s="446"/>
      <c r="AA239" s="28"/>
      <c r="AB239" s="28"/>
      <c r="AC239" s="997"/>
      <c r="AD239" s="536"/>
    </row>
    <row r="240" spans="2:30" ht="10.5" customHeight="1">
      <c r="B240" s="292"/>
      <c r="C240" s="394" t="s">
        <v>2196</v>
      </c>
      <c r="D240" s="460">
        <v>42800</v>
      </c>
      <c r="E240" s="292"/>
      <c r="F240" s="587"/>
      <c r="G240" s="1079" t="s">
        <v>1464</v>
      </c>
      <c r="H240" s="1079" t="s">
        <v>1223</v>
      </c>
      <c r="I240" s="1080" t="s">
        <v>1709</v>
      </c>
      <c r="J240" s="1080" t="s">
        <v>2630</v>
      </c>
      <c r="K240" s="1081" t="s">
        <v>2599</v>
      </c>
      <c r="L240" s="1082" t="s">
        <v>426</v>
      </c>
      <c r="M240" s="2173" t="s">
        <v>2616</v>
      </c>
      <c r="N240" s="2173" t="s">
        <v>1709</v>
      </c>
      <c r="O240" s="2174" t="s">
        <v>4435</v>
      </c>
      <c r="P240" s="586" t="s">
        <v>2308</v>
      </c>
      <c r="Q240" s="301"/>
      <c r="R240" s="177"/>
      <c r="S240" s="403"/>
      <c r="T240" s="525" t="s">
        <v>2306</v>
      </c>
      <c r="U240" s="525" t="s">
        <v>675</v>
      </c>
      <c r="W240" s="446" t="s">
        <v>3400</v>
      </c>
      <c r="X240" s="446" t="s">
        <v>3410</v>
      </c>
      <c r="Z240" s="446"/>
      <c r="AA240" s="28"/>
      <c r="AB240" s="28"/>
      <c r="AC240" s="997"/>
      <c r="AD240" s="536"/>
    </row>
    <row r="241" spans="2:30" ht="10.5" customHeight="1">
      <c r="B241" s="292"/>
      <c r="C241" s="394" t="s">
        <v>2198</v>
      </c>
      <c r="D241" s="460">
        <v>35400</v>
      </c>
      <c r="E241" s="292"/>
      <c r="F241" s="587"/>
      <c r="G241" s="1079" t="s">
        <v>1465</v>
      </c>
      <c r="H241" s="1079" t="s">
        <v>1323</v>
      </c>
      <c r="I241" s="1080" t="s">
        <v>1466</v>
      </c>
      <c r="J241" s="1080" t="s">
        <v>2629</v>
      </c>
      <c r="K241" s="1081" t="s">
        <v>270</v>
      </c>
      <c r="L241" s="1082" t="s">
        <v>425</v>
      </c>
      <c r="M241" s="2175" t="s">
        <v>2616</v>
      </c>
      <c r="N241" s="2175" t="s">
        <v>1332</v>
      </c>
      <c r="O241" s="2174" t="s">
        <v>4436</v>
      </c>
      <c r="P241" s="586" t="s">
        <v>2309</v>
      </c>
      <c r="Q241" s="301"/>
      <c r="R241" s="177"/>
      <c r="S241" s="403"/>
      <c r="T241" s="525" t="s">
        <v>1344</v>
      </c>
      <c r="U241" s="525" t="s">
        <v>673</v>
      </c>
      <c r="W241" s="446" t="s">
        <v>680</v>
      </c>
      <c r="X241" s="446" t="s">
        <v>3410</v>
      </c>
      <c r="Z241" s="446"/>
      <c r="AA241" s="28"/>
      <c r="AB241" s="28"/>
      <c r="AC241" s="997"/>
      <c r="AD241" s="536"/>
    </row>
    <row r="242" spans="2:30" ht="10.5" customHeight="1">
      <c r="B242" s="292"/>
      <c r="C242" s="394" t="s">
        <v>2200</v>
      </c>
      <c r="D242" s="460">
        <v>46700</v>
      </c>
      <c r="E242" s="292"/>
      <c r="F242" s="587"/>
      <c r="G242" s="1079" t="s">
        <v>1467</v>
      </c>
      <c r="H242" s="1079" t="s">
        <v>1223</v>
      </c>
      <c r="I242" s="1083" t="s">
        <v>1795</v>
      </c>
      <c r="J242" s="1083" t="s">
        <v>2630</v>
      </c>
      <c r="K242" s="1081" t="s">
        <v>1171</v>
      </c>
      <c r="L242" s="1082" t="s">
        <v>426</v>
      </c>
      <c r="M242" s="2173" t="s">
        <v>2616</v>
      </c>
      <c r="N242" s="2173" t="s">
        <v>1795</v>
      </c>
      <c r="O242" s="2174" t="s">
        <v>4437</v>
      </c>
      <c r="P242" s="586" t="s">
        <v>1571</v>
      </c>
      <c r="Q242" s="301"/>
      <c r="R242" s="177"/>
      <c r="S242" s="403"/>
      <c r="T242" s="525" t="s">
        <v>2867</v>
      </c>
      <c r="U242" s="525" t="s">
        <v>675</v>
      </c>
      <c r="W242" s="446" t="s">
        <v>2404</v>
      </c>
      <c r="X242" s="446" t="s">
        <v>3410</v>
      </c>
      <c r="Z242" s="446"/>
      <c r="AA242" s="28"/>
      <c r="AB242" s="28"/>
      <c r="AC242" s="997"/>
      <c r="AD242" s="536"/>
    </row>
    <row r="243" spans="2:30" ht="10.5" customHeight="1">
      <c r="B243" s="292"/>
      <c r="C243" s="394" t="s">
        <v>879</v>
      </c>
      <c r="D243" s="460">
        <v>37400</v>
      </c>
      <c r="E243" s="292"/>
      <c r="F243" s="587"/>
      <c r="G243" s="1079" t="s">
        <v>1468</v>
      </c>
      <c r="H243" s="1079" t="s">
        <v>1223</v>
      </c>
      <c r="I243" s="1080" t="s">
        <v>776</v>
      </c>
      <c r="J243" s="1080" t="s">
        <v>2630</v>
      </c>
      <c r="K243" s="1081" t="s">
        <v>271</v>
      </c>
      <c r="L243" s="1082" t="s">
        <v>426</v>
      </c>
      <c r="M243" s="2175" t="s">
        <v>1207</v>
      </c>
      <c r="N243" s="2175" t="s">
        <v>1338</v>
      </c>
      <c r="O243" s="2174" t="s">
        <v>4438</v>
      </c>
      <c r="P243" s="586" t="s">
        <v>1573</v>
      </c>
      <c r="Q243" s="301"/>
      <c r="R243" s="177"/>
      <c r="S243" s="403"/>
      <c r="T243" s="525" t="s">
        <v>2310</v>
      </c>
      <c r="U243" s="525" t="s">
        <v>105</v>
      </c>
      <c r="W243" s="446" t="s">
        <v>222</v>
      </c>
      <c r="X243" s="446" t="s">
        <v>3410</v>
      </c>
      <c r="Z243" s="446"/>
      <c r="AA243" s="28"/>
      <c r="AB243" s="28"/>
      <c r="AC243" s="997"/>
      <c r="AD243" s="536"/>
    </row>
    <row r="244" spans="2:30" ht="10.5" customHeight="1">
      <c r="B244" s="292"/>
      <c r="C244" s="394" t="s">
        <v>881</v>
      </c>
      <c r="D244" s="460">
        <v>35400</v>
      </c>
      <c r="E244" s="292"/>
      <c r="F244" s="587"/>
      <c r="G244" s="1079" t="s">
        <v>1469</v>
      </c>
      <c r="H244" s="1079" t="s">
        <v>1323</v>
      </c>
      <c r="I244" s="1080" t="s">
        <v>1470</v>
      </c>
      <c r="J244" s="1080" t="s">
        <v>2630</v>
      </c>
      <c r="K244" s="1081" t="s">
        <v>3767</v>
      </c>
      <c r="L244" s="1082" t="s">
        <v>426</v>
      </c>
      <c r="M244" s="2175" t="s">
        <v>2616</v>
      </c>
      <c r="N244" s="2175" t="s">
        <v>1342</v>
      </c>
      <c r="O244" s="2174" t="s">
        <v>4439</v>
      </c>
      <c r="P244" s="586" t="s">
        <v>1575</v>
      </c>
      <c r="Q244" s="301"/>
      <c r="R244" s="177"/>
      <c r="S244" s="403"/>
      <c r="T244" s="525" t="s">
        <v>1572</v>
      </c>
      <c r="U244" s="525" t="s">
        <v>1646</v>
      </c>
      <c r="W244" s="446" t="s">
        <v>665</v>
      </c>
      <c r="X244" s="446" t="s">
        <v>3410</v>
      </c>
      <c r="Z244" s="446"/>
      <c r="AA244" s="28"/>
      <c r="AB244" s="28"/>
      <c r="AC244" s="997"/>
      <c r="AD244" s="536"/>
    </row>
    <row r="245" spans="2:30" ht="10.5" customHeight="1">
      <c r="B245" s="292"/>
      <c r="C245" s="394" t="s">
        <v>1680</v>
      </c>
      <c r="D245" s="460">
        <v>45200</v>
      </c>
      <c r="E245" s="292"/>
      <c r="F245" s="587"/>
      <c r="G245" s="1079" t="s">
        <v>1471</v>
      </c>
      <c r="H245" s="1079" t="s">
        <v>1223</v>
      </c>
      <c r="I245" s="1080" t="s">
        <v>1472</v>
      </c>
      <c r="J245" s="1080" t="s">
        <v>2630</v>
      </c>
      <c r="K245" s="1081" t="s">
        <v>700</v>
      </c>
      <c r="L245" s="1082" t="s">
        <v>426</v>
      </c>
      <c r="M245" s="2173" t="s">
        <v>2616</v>
      </c>
      <c r="N245" s="2173" t="s">
        <v>1338</v>
      </c>
      <c r="O245" s="2174" t="s">
        <v>4440</v>
      </c>
      <c r="P245" s="586" t="s">
        <v>1577</v>
      </c>
      <c r="Q245" s="301"/>
      <c r="R245" s="177"/>
      <c r="S245" s="403"/>
      <c r="T245" s="525" t="s">
        <v>2581</v>
      </c>
      <c r="U245" s="525" t="s">
        <v>634</v>
      </c>
      <c r="W245" s="446" t="s">
        <v>236</v>
      </c>
      <c r="X245" s="446" t="s">
        <v>3410</v>
      </c>
      <c r="Z245" s="446"/>
      <c r="AA245" s="28"/>
      <c r="AB245" s="28"/>
      <c r="AC245" s="997"/>
      <c r="AD245" s="536"/>
    </row>
    <row r="246" spans="2:30" ht="10.5" customHeight="1">
      <c r="B246" s="292"/>
      <c r="C246" s="394" t="s">
        <v>1923</v>
      </c>
      <c r="D246" s="460">
        <v>48200</v>
      </c>
      <c r="E246" s="292"/>
      <c r="F246" s="587"/>
      <c r="G246" s="1079" t="s">
        <v>176</v>
      </c>
      <c r="H246" s="1079" t="s">
        <v>1223</v>
      </c>
      <c r="I246" s="1080" t="s">
        <v>1709</v>
      </c>
      <c r="J246" s="1080" t="s">
        <v>2630</v>
      </c>
      <c r="K246" s="1081" t="s">
        <v>2599</v>
      </c>
      <c r="L246" s="1082" t="s">
        <v>426</v>
      </c>
      <c r="M246" s="2175" t="s">
        <v>1207</v>
      </c>
      <c r="N246" s="2175" t="s">
        <v>1709</v>
      </c>
      <c r="O246" s="2174" t="s">
        <v>4441</v>
      </c>
      <c r="P246" s="586" t="s">
        <v>1579</v>
      </c>
      <c r="Q246" s="301"/>
      <c r="R246" s="177"/>
      <c r="S246" s="403"/>
      <c r="T246" s="525" t="s">
        <v>1574</v>
      </c>
      <c r="U246" s="525" t="s">
        <v>666</v>
      </c>
      <c r="W246" s="446" t="s">
        <v>666</v>
      </c>
      <c r="X246" s="446" t="s">
        <v>3410</v>
      </c>
      <c r="Z246" s="446"/>
      <c r="AA246" s="28"/>
      <c r="AB246" s="28"/>
      <c r="AC246" s="997"/>
      <c r="AD246" s="536"/>
    </row>
    <row r="247" spans="2:30" ht="10.5" customHeight="1">
      <c r="B247" s="292"/>
      <c r="C247" s="393" t="s">
        <v>1925</v>
      </c>
      <c r="D247" s="460">
        <v>45600</v>
      </c>
      <c r="E247" s="292"/>
      <c r="F247" s="587"/>
      <c r="G247" s="1079" t="s">
        <v>177</v>
      </c>
      <c r="H247" s="1079" t="s">
        <v>1323</v>
      </c>
      <c r="I247" s="1083" t="s">
        <v>178</v>
      </c>
      <c r="J247" s="1083" t="s">
        <v>2629</v>
      </c>
      <c r="K247" s="1081" t="s">
        <v>701</v>
      </c>
      <c r="L247" s="1082" t="s">
        <v>425</v>
      </c>
      <c r="M247" s="2175" t="s">
        <v>2616</v>
      </c>
      <c r="N247" s="2175" t="s">
        <v>1217</v>
      </c>
      <c r="O247" s="2174" t="s">
        <v>4442</v>
      </c>
      <c r="P247" s="586" t="s">
        <v>1755</v>
      </c>
      <c r="Q247" s="301"/>
      <c r="R247" s="177"/>
      <c r="S247" s="403"/>
      <c r="T247" s="525" t="s">
        <v>2868</v>
      </c>
      <c r="U247" s="525" t="s">
        <v>2258</v>
      </c>
      <c r="W247" s="446" t="s">
        <v>795</v>
      </c>
      <c r="X247" s="446" t="s">
        <v>3410</v>
      </c>
      <c r="Z247" s="446"/>
      <c r="AA247" s="28"/>
      <c r="AB247" s="28"/>
      <c r="AC247" s="997"/>
      <c r="AD247" s="536"/>
    </row>
    <row r="248" spans="2:30" ht="10.5" customHeight="1">
      <c r="B248" s="292"/>
      <c r="C248" s="393" t="s">
        <v>1927</v>
      </c>
      <c r="D248" s="460">
        <v>49000</v>
      </c>
      <c r="E248" s="292"/>
      <c r="F248" s="587"/>
      <c r="G248" s="1079" t="s">
        <v>1332</v>
      </c>
      <c r="H248" s="1079" t="s">
        <v>1323</v>
      </c>
      <c r="I248" s="1080" t="s">
        <v>179</v>
      </c>
      <c r="J248" s="1080" t="s">
        <v>2629</v>
      </c>
      <c r="K248" s="1081" t="s">
        <v>702</v>
      </c>
      <c r="L248" s="1082" t="s">
        <v>425</v>
      </c>
      <c r="M248" s="2175" t="s">
        <v>2616</v>
      </c>
      <c r="N248" s="2175" t="s">
        <v>1332</v>
      </c>
      <c r="O248" s="2174" t="s">
        <v>4443</v>
      </c>
      <c r="P248" s="586" t="s">
        <v>1757</v>
      </c>
      <c r="Q248" s="301"/>
      <c r="R248" s="177"/>
      <c r="S248" s="403"/>
      <c r="T248" s="525" t="s">
        <v>1576</v>
      </c>
      <c r="U248" s="525" t="s">
        <v>165</v>
      </c>
      <c r="W248" s="446" t="s">
        <v>3401</v>
      </c>
      <c r="X248" s="446" t="s">
        <v>3410</v>
      </c>
      <c r="Z248" s="446"/>
      <c r="AA248" s="28"/>
      <c r="AB248" s="28"/>
      <c r="AC248" s="997"/>
      <c r="AD248" s="536"/>
    </row>
    <row r="249" spans="2:30" ht="10.5" customHeight="1">
      <c r="B249" s="292"/>
      <c r="C249" s="393" t="s">
        <v>1929</v>
      </c>
      <c r="D249" s="460">
        <v>54000</v>
      </c>
      <c r="E249" s="292"/>
      <c r="F249" s="587"/>
      <c r="G249" s="1079" t="s">
        <v>180</v>
      </c>
      <c r="H249" s="1079" t="s">
        <v>1323</v>
      </c>
      <c r="I249" s="1080" t="s">
        <v>2059</v>
      </c>
      <c r="J249" s="1080" t="s">
        <v>2630</v>
      </c>
      <c r="K249" s="1081" t="s">
        <v>626</v>
      </c>
      <c r="L249" s="1082" t="s">
        <v>426</v>
      </c>
      <c r="M249" s="2173" t="s">
        <v>2616</v>
      </c>
      <c r="N249" s="2173" t="s">
        <v>167</v>
      </c>
      <c r="O249" s="2174" t="s">
        <v>4444</v>
      </c>
      <c r="P249" s="586" t="s">
        <v>1759</v>
      </c>
      <c r="Q249" s="301"/>
      <c r="R249" s="177"/>
      <c r="S249" s="403"/>
      <c r="T249" s="525" t="s">
        <v>1578</v>
      </c>
      <c r="U249" s="525" t="s">
        <v>1325</v>
      </c>
      <c r="W249" s="446" t="s">
        <v>3402</v>
      </c>
      <c r="X249" s="446" t="s">
        <v>3410</v>
      </c>
      <c r="Z249" s="446"/>
      <c r="AA249" s="28"/>
      <c r="AB249" s="28"/>
      <c r="AC249" s="997"/>
      <c r="AD249" s="536"/>
    </row>
    <row r="250" spans="2:30" ht="10.5" customHeight="1">
      <c r="B250" s="292"/>
      <c r="C250" s="393" t="s">
        <v>1931</v>
      </c>
      <c r="D250" s="460">
        <v>49300</v>
      </c>
      <c r="E250" s="292"/>
      <c r="F250" s="587"/>
      <c r="G250" s="1079" t="s">
        <v>359</v>
      </c>
      <c r="H250" s="1079" t="s">
        <v>1323</v>
      </c>
      <c r="I250" s="1083" t="s">
        <v>162</v>
      </c>
      <c r="J250" s="1083" t="s">
        <v>2630</v>
      </c>
      <c r="K250" s="1081" t="s">
        <v>1695</v>
      </c>
      <c r="L250" s="1082" t="s">
        <v>426</v>
      </c>
      <c r="M250" s="2173" t="s">
        <v>2616</v>
      </c>
      <c r="N250" s="2173" t="s">
        <v>162</v>
      </c>
      <c r="O250" s="2174" t="s">
        <v>4445</v>
      </c>
      <c r="P250" s="586" t="s">
        <v>1033</v>
      </c>
      <c r="Q250" s="301"/>
      <c r="R250" s="177"/>
      <c r="S250" s="403"/>
      <c r="T250" s="525" t="s">
        <v>1580</v>
      </c>
      <c r="U250" s="525" t="s">
        <v>180</v>
      </c>
      <c r="W250" s="446" t="s">
        <v>1233</v>
      </c>
      <c r="X250" s="446" t="s">
        <v>3410</v>
      </c>
      <c r="Z250" s="446"/>
      <c r="AA250" s="28"/>
      <c r="AB250" s="28"/>
      <c r="AC250" s="997"/>
      <c r="AD250" s="536"/>
    </row>
    <row r="251" spans="2:30" ht="10.5" customHeight="1">
      <c r="B251" s="292"/>
      <c r="C251" s="393" t="s">
        <v>1933</v>
      </c>
      <c r="D251" s="460">
        <v>36500</v>
      </c>
      <c r="E251" s="292"/>
      <c r="F251" s="587"/>
      <c r="G251" s="1079" t="s">
        <v>1891</v>
      </c>
      <c r="H251" s="1079" t="s">
        <v>1323</v>
      </c>
      <c r="I251" s="1083" t="s">
        <v>773</v>
      </c>
      <c r="J251" s="1083" t="s">
        <v>2630</v>
      </c>
      <c r="K251" s="1081" t="s">
        <v>2615</v>
      </c>
      <c r="L251" s="1082" t="s">
        <v>426</v>
      </c>
      <c r="M251" s="2173" t="s">
        <v>2616</v>
      </c>
      <c r="N251" s="2173" t="s">
        <v>1342</v>
      </c>
      <c r="O251" s="2174" t="s">
        <v>4446</v>
      </c>
      <c r="P251" s="586" t="s">
        <v>1034</v>
      </c>
      <c r="Q251" s="301"/>
      <c r="R251" s="177"/>
      <c r="S251" s="403"/>
      <c r="T251" s="525" t="s">
        <v>1756</v>
      </c>
      <c r="U251" s="525" t="s">
        <v>666</v>
      </c>
      <c r="W251" s="446" t="s">
        <v>686</v>
      </c>
      <c r="X251" s="446" t="s">
        <v>3410</v>
      </c>
      <c r="Z251" s="446"/>
      <c r="AA251" s="28"/>
      <c r="AB251" s="28"/>
      <c r="AC251" s="997"/>
      <c r="AD251" s="536"/>
    </row>
    <row r="252" spans="2:30" ht="10.5" customHeight="1">
      <c r="B252" s="292"/>
      <c r="C252" s="394" t="s">
        <v>1936</v>
      </c>
      <c r="D252" s="460">
        <v>51200</v>
      </c>
      <c r="E252" s="292"/>
      <c r="F252" s="587"/>
      <c r="G252" s="1079" t="s">
        <v>1892</v>
      </c>
      <c r="H252" s="1079" t="s">
        <v>1223</v>
      </c>
      <c r="I252" s="1080" t="s">
        <v>11</v>
      </c>
      <c r="J252" s="1080" t="s">
        <v>2630</v>
      </c>
      <c r="K252" s="1081" t="s">
        <v>2598</v>
      </c>
      <c r="L252" s="1082" t="s">
        <v>426</v>
      </c>
      <c r="M252" s="2173" t="s">
        <v>2616</v>
      </c>
      <c r="N252" s="2173" t="s">
        <v>1338</v>
      </c>
      <c r="O252" s="2174" t="s">
        <v>4447</v>
      </c>
      <c r="P252" s="586" t="s">
        <v>238</v>
      </c>
      <c r="Q252" s="301"/>
      <c r="R252" s="177"/>
      <c r="S252" s="403"/>
      <c r="T252" s="525" t="s">
        <v>1758</v>
      </c>
      <c r="U252" s="525" t="s">
        <v>741</v>
      </c>
      <c r="W252" s="446" t="s">
        <v>673</v>
      </c>
      <c r="X252" s="446" t="s">
        <v>3410</v>
      </c>
      <c r="Z252" s="446"/>
      <c r="AA252" s="28"/>
      <c r="AB252" s="28"/>
      <c r="AC252" s="997"/>
      <c r="AD252" s="536"/>
    </row>
    <row r="253" spans="2:30" ht="10.5" customHeight="1">
      <c r="B253" s="292"/>
      <c r="C253" s="393" t="s">
        <v>2022</v>
      </c>
      <c r="D253" s="460">
        <v>44200</v>
      </c>
      <c r="E253" s="292"/>
      <c r="F253" s="587"/>
      <c r="G253" s="1079" t="s">
        <v>1893</v>
      </c>
      <c r="H253" s="1079" t="s">
        <v>1323</v>
      </c>
      <c r="I253" s="1083" t="s">
        <v>777</v>
      </c>
      <c r="J253" s="1083" t="s">
        <v>2630</v>
      </c>
      <c r="K253" s="1081" t="s">
        <v>703</v>
      </c>
      <c r="L253" s="1082" t="s">
        <v>426</v>
      </c>
      <c r="M253" s="2173" t="s">
        <v>2616</v>
      </c>
      <c r="N253" s="2173" t="s">
        <v>1217</v>
      </c>
      <c r="O253" s="2174" t="s">
        <v>4448</v>
      </c>
      <c r="P253" s="586" t="s">
        <v>240</v>
      </c>
      <c r="Q253" s="301"/>
      <c r="R253" s="177"/>
      <c r="S253" s="403"/>
      <c r="T253" s="525" t="s">
        <v>1032</v>
      </c>
      <c r="U253" s="525" t="s">
        <v>1326</v>
      </c>
      <c r="W253" s="446" t="s">
        <v>990</v>
      </c>
      <c r="X253" s="446" t="s">
        <v>3410</v>
      </c>
      <c r="Z253" s="446"/>
      <c r="AA253" s="28"/>
      <c r="AB253" s="28"/>
      <c r="AC253" s="997"/>
      <c r="AD253" s="536"/>
    </row>
    <row r="254" spans="2:30" ht="10.5" customHeight="1">
      <c r="B254" s="292"/>
      <c r="C254" s="393" t="s">
        <v>1709</v>
      </c>
      <c r="D254" s="460">
        <v>45900</v>
      </c>
      <c r="E254" s="292"/>
      <c r="F254" s="587"/>
      <c r="G254" s="1079" t="s">
        <v>1644</v>
      </c>
      <c r="H254" s="1079" t="s">
        <v>1223</v>
      </c>
      <c r="I254" s="1080" t="s">
        <v>1645</v>
      </c>
      <c r="J254" s="1080" t="s">
        <v>2629</v>
      </c>
      <c r="K254" s="1081" t="s">
        <v>704</v>
      </c>
      <c r="L254" s="1082" t="s">
        <v>425</v>
      </c>
      <c r="M254" s="2175" t="s">
        <v>2616</v>
      </c>
      <c r="N254" s="2175" t="s">
        <v>1795</v>
      </c>
      <c r="O254" s="2174" t="s">
        <v>4449</v>
      </c>
      <c r="P254" s="586" t="s">
        <v>1275</v>
      </c>
      <c r="Q254" s="301"/>
      <c r="R254" s="177"/>
      <c r="S254" s="403"/>
      <c r="T254" s="525" t="s">
        <v>1035</v>
      </c>
      <c r="U254" s="525" t="s">
        <v>664</v>
      </c>
      <c r="W254" s="446" t="s">
        <v>994</v>
      </c>
      <c r="X254" s="446" t="s">
        <v>3410</v>
      </c>
      <c r="Z254" s="446"/>
      <c r="AA254" s="28"/>
      <c r="AB254" s="28"/>
      <c r="AC254" s="997"/>
      <c r="AD254" s="536"/>
    </row>
    <row r="255" spans="2:30" ht="10.5" customHeight="1">
      <c r="B255" s="292"/>
      <c r="C255" s="394" t="s">
        <v>104</v>
      </c>
      <c r="D255" s="460">
        <v>45000</v>
      </c>
      <c r="E255" s="292"/>
      <c r="F255" s="587"/>
      <c r="G255" s="1079" t="s">
        <v>1646</v>
      </c>
      <c r="H255" s="1079" t="s">
        <v>1223</v>
      </c>
      <c r="I255" s="1080" t="s">
        <v>1647</v>
      </c>
      <c r="J255" s="1080" t="s">
        <v>2629</v>
      </c>
      <c r="K255" s="1081" t="s">
        <v>705</v>
      </c>
      <c r="L255" s="1082" t="s">
        <v>425</v>
      </c>
      <c r="M255" s="2175" t="s">
        <v>2616</v>
      </c>
      <c r="N255" s="2175" t="s">
        <v>1795</v>
      </c>
      <c r="O255" s="2174" t="s">
        <v>4450</v>
      </c>
      <c r="P255" s="586" t="s">
        <v>2075</v>
      </c>
      <c r="Q255" s="301"/>
      <c r="R255" s="177"/>
      <c r="S255" s="403"/>
      <c r="T255" s="525" t="s">
        <v>239</v>
      </c>
      <c r="U255" s="525" t="s">
        <v>2546</v>
      </c>
      <c r="W255" s="446" t="s">
        <v>996</v>
      </c>
      <c r="X255" s="446" t="s">
        <v>3410</v>
      </c>
      <c r="Z255" s="446"/>
      <c r="AA255" s="28"/>
      <c r="AB255" s="28"/>
      <c r="AC255" s="997"/>
      <c r="AD255" s="536"/>
    </row>
    <row r="256" spans="2:30" ht="10.5" customHeight="1">
      <c r="B256" s="292"/>
      <c r="C256" s="393" t="s">
        <v>1722</v>
      </c>
      <c r="D256" s="460">
        <v>57900</v>
      </c>
      <c r="E256" s="292"/>
      <c r="F256" s="587"/>
      <c r="G256" s="1079" t="s">
        <v>1648</v>
      </c>
      <c r="H256" s="1079" t="s">
        <v>1323</v>
      </c>
      <c r="I256" s="1083" t="s">
        <v>2058</v>
      </c>
      <c r="J256" s="1083" t="s">
        <v>2630</v>
      </c>
      <c r="K256" s="1081" t="s">
        <v>706</v>
      </c>
      <c r="L256" s="1082" t="s">
        <v>426</v>
      </c>
      <c r="M256" s="2173" t="s">
        <v>2616</v>
      </c>
      <c r="N256" s="2173" t="s">
        <v>1217</v>
      </c>
      <c r="O256" s="2174" t="s">
        <v>4451</v>
      </c>
      <c r="P256" s="586" t="s">
        <v>2077</v>
      </c>
      <c r="Q256" s="301"/>
      <c r="R256" s="177"/>
      <c r="S256" s="403"/>
      <c r="T256" s="525" t="s">
        <v>2869</v>
      </c>
      <c r="U256" s="525" t="s">
        <v>883</v>
      </c>
      <c r="W256" s="446" t="s">
        <v>579</v>
      </c>
      <c r="X256" s="446" t="s">
        <v>3410</v>
      </c>
      <c r="Z256" s="446"/>
      <c r="AA256" s="28"/>
      <c r="AB256" s="28"/>
      <c r="AC256" s="997"/>
      <c r="AD256" s="536"/>
    </row>
    <row r="257" spans="2:30" ht="10.5" customHeight="1">
      <c r="B257" s="292"/>
      <c r="C257" s="393" t="s">
        <v>106</v>
      </c>
      <c r="D257" s="460">
        <v>40200</v>
      </c>
      <c r="F257" s="587"/>
      <c r="G257" s="1079" t="s">
        <v>185</v>
      </c>
      <c r="H257" s="1079" t="s">
        <v>1223</v>
      </c>
      <c r="I257" s="1080" t="s">
        <v>186</v>
      </c>
      <c r="J257" s="1080" t="s">
        <v>2629</v>
      </c>
      <c r="K257" s="1081" t="s">
        <v>707</v>
      </c>
      <c r="L257" s="1082" t="s">
        <v>425</v>
      </c>
      <c r="M257" s="2175" t="s">
        <v>2616</v>
      </c>
      <c r="N257" s="2175" t="s">
        <v>1338</v>
      </c>
      <c r="O257" s="2174" t="s">
        <v>4452</v>
      </c>
      <c r="P257" s="586" t="s">
        <v>2079</v>
      </c>
      <c r="Q257" s="301"/>
      <c r="R257" s="177"/>
      <c r="S257" s="403"/>
      <c r="T257" s="292" t="s">
        <v>1771</v>
      </c>
      <c r="U257" s="292" t="s">
        <v>1107</v>
      </c>
      <c r="W257" s="446" t="s">
        <v>374</v>
      </c>
      <c r="X257" s="446" t="s">
        <v>3410</v>
      </c>
      <c r="Z257" s="446"/>
      <c r="AA257" s="28"/>
      <c r="AB257" s="28"/>
      <c r="AC257" s="997"/>
      <c r="AD257" s="536"/>
    </row>
    <row r="258" spans="2:30" ht="10.5" customHeight="1">
      <c r="B258" s="292"/>
      <c r="C258" s="393" t="s">
        <v>108</v>
      </c>
      <c r="D258" s="460">
        <v>46900</v>
      </c>
      <c r="F258" s="587"/>
      <c r="G258" s="1079" t="s">
        <v>2601</v>
      </c>
      <c r="H258" s="1079" t="s">
        <v>1323</v>
      </c>
      <c r="I258" s="1083" t="s">
        <v>2602</v>
      </c>
      <c r="J258" s="1080" t="s">
        <v>2630</v>
      </c>
      <c r="K258" s="1081" t="s">
        <v>3766</v>
      </c>
      <c r="L258" s="1082" t="s">
        <v>426</v>
      </c>
      <c r="M258" s="2175" t="s">
        <v>2616</v>
      </c>
      <c r="N258" s="2175" t="s">
        <v>1217</v>
      </c>
      <c r="O258" s="2174" t="s">
        <v>4453</v>
      </c>
      <c r="P258" s="586" t="s">
        <v>2081</v>
      </c>
      <c r="Q258" s="301"/>
      <c r="R258" s="177"/>
      <c r="S258" s="403"/>
      <c r="T258" s="525" t="s">
        <v>2076</v>
      </c>
      <c r="U258" s="525" t="s">
        <v>322</v>
      </c>
      <c r="W258" s="446" t="s">
        <v>1607</v>
      </c>
      <c r="X258" s="446" t="s">
        <v>3410</v>
      </c>
      <c r="Z258" s="446"/>
      <c r="AA258" s="28"/>
      <c r="AB258" s="28"/>
      <c r="AC258" s="536"/>
      <c r="AD258" s="536"/>
    </row>
    <row r="259" spans="2:30" ht="10.5" customHeight="1">
      <c r="B259" s="292"/>
      <c r="C259" s="393" t="s">
        <v>110</v>
      </c>
      <c r="D259" s="460">
        <v>48800</v>
      </c>
      <c r="F259" s="587"/>
      <c r="G259" s="1079" t="s">
        <v>2603</v>
      </c>
      <c r="H259" s="1079" t="s">
        <v>1323</v>
      </c>
      <c r="I259" s="1080" t="s">
        <v>2604</v>
      </c>
      <c r="J259" s="1080" t="s">
        <v>2630</v>
      </c>
      <c r="K259" s="1081" t="s">
        <v>1967</v>
      </c>
      <c r="L259" s="1082" t="s">
        <v>426</v>
      </c>
      <c r="M259" s="2173" t="s">
        <v>2616</v>
      </c>
      <c r="N259" s="2173" t="s">
        <v>1217</v>
      </c>
      <c r="O259" s="2174" t="s">
        <v>4454</v>
      </c>
      <c r="P259" s="586" t="s">
        <v>2083</v>
      </c>
      <c r="Q259" s="301"/>
      <c r="R259" s="177"/>
      <c r="S259" s="403"/>
      <c r="T259" s="525" t="s">
        <v>2078</v>
      </c>
      <c r="U259" s="525" t="s">
        <v>320</v>
      </c>
      <c r="W259" s="446" t="s">
        <v>1018</v>
      </c>
      <c r="X259" s="446" t="s">
        <v>3410</v>
      </c>
      <c r="Z259" s="446"/>
      <c r="AA259" s="28"/>
      <c r="AB259" s="28"/>
      <c r="AC259" s="997"/>
      <c r="AD259" s="536"/>
    </row>
    <row r="260" spans="2:30" ht="10.5" customHeight="1">
      <c r="B260" s="292"/>
      <c r="C260" s="393" t="s">
        <v>112</v>
      </c>
      <c r="D260" s="460">
        <v>45000</v>
      </c>
      <c r="F260" s="587"/>
      <c r="G260" s="1079" t="s">
        <v>2605</v>
      </c>
      <c r="H260" s="1079" t="s">
        <v>1323</v>
      </c>
      <c r="I260" s="1083" t="s">
        <v>162</v>
      </c>
      <c r="J260" s="1083" t="s">
        <v>2630</v>
      </c>
      <c r="K260" s="1081" t="s">
        <v>1695</v>
      </c>
      <c r="L260" s="1082" t="s">
        <v>426</v>
      </c>
      <c r="M260" s="2175" t="s">
        <v>1207</v>
      </c>
      <c r="N260" s="2175" t="s">
        <v>162</v>
      </c>
      <c r="O260" s="2174" t="s">
        <v>4455</v>
      </c>
      <c r="P260" s="586" t="s">
        <v>2085</v>
      </c>
      <c r="Q260" s="301"/>
      <c r="R260" s="177"/>
      <c r="S260" s="403"/>
      <c r="T260" s="525" t="s">
        <v>2080</v>
      </c>
      <c r="U260" s="525" t="s">
        <v>634</v>
      </c>
      <c r="W260" s="446" t="s">
        <v>1020</v>
      </c>
      <c r="X260" s="446" t="s">
        <v>3410</v>
      </c>
      <c r="Z260" s="446"/>
      <c r="AA260" s="28"/>
      <c r="AB260" s="28"/>
      <c r="AC260" s="997"/>
      <c r="AD260" s="536"/>
    </row>
    <row r="261" spans="2:30" ht="10.5" customHeight="1">
      <c r="B261" s="292"/>
      <c r="C261" s="393" t="s">
        <v>114</v>
      </c>
      <c r="D261" s="460">
        <v>36400</v>
      </c>
      <c r="F261" s="587"/>
      <c r="G261" s="1079" t="s">
        <v>2606</v>
      </c>
      <c r="H261" s="1079" t="s">
        <v>1323</v>
      </c>
      <c r="I261" s="1083" t="s">
        <v>772</v>
      </c>
      <c r="J261" s="1083" t="s">
        <v>2630</v>
      </c>
      <c r="K261" s="1081" t="s">
        <v>2593</v>
      </c>
      <c r="L261" s="1082" t="s">
        <v>426</v>
      </c>
      <c r="M261" s="2173" t="s">
        <v>1207</v>
      </c>
      <c r="N261" s="2173" t="s">
        <v>1217</v>
      </c>
      <c r="O261" s="2174" t="s">
        <v>4456</v>
      </c>
      <c r="P261" s="586" t="s">
        <v>681</v>
      </c>
      <c r="Q261" s="301"/>
      <c r="R261" s="177"/>
      <c r="S261" s="403"/>
      <c r="T261" s="525" t="s">
        <v>2082</v>
      </c>
      <c r="U261" s="525" t="s">
        <v>2603</v>
      </c>
      <c r="W261" s="446" t="s">
        <v>1692</v>
      </c>
      <c r="X261" s="446" t="s">
        <v>3410</v>
      </c>
      <c r="Z261" s="446"/>
      <c r="AA261" s="28"/>
      <c r="AB261" s="28"/>
      <c r="AC261" s="997"/>
      <c r="AD261" s="536"/>
    </row>
    <row r="262" spans="2:30" ht="10.5" customHeight="1">
      <c r="B262" s="292"/>
      <c r="C262" s="393" t="s">
        <v>116</v>
      </c>
      <c r="D262" s="460">
        <v>53200</v>
      </c>
      <c r="F262" s="587"/>
      <c r="G262" s="1079" t="s">
        <v>2607</v>
      </c>
      <c r="H262" s="1079" t="s">
        <v>1323</v>
      </c>
      <c r="I262" s="1080" t="s">
        <v>2059</v>
      </c>
      <c r="J262" s="1080" t="s">
        <v>2630</v>
      </c>
      <c r="K262" s="1081" t="s">
        <v>626</v>
      </c>
      <c r="L262" s="1082" t="s">
        <v>426</v>
      </c>
      <c r="M262" s="2173" t="s">
        <v>2616</v>
      </c>
      <c r="N262" s="2173" t="s">
        <v>167</v>
      </c>
      <c r="O262" s="2174" t="s">
        <v>4457</v>
      </c>
      <c r="P262" s="586" t="s">
        <v>2344</v>
      </c>
      <c r="Q262" s="301"/>
      <c r="R262" s="177"/>
      <c r="S262" s="403"/>
      <c r="T262" s="525" t="s">
        <v>695</v>
      </c>
      <c r="U262" s="525" t="s">
        <v>1218</v>
      </c>
      <c r="W262" s="446" t="s">
        <v>874</v>
      </c>
      <c r="X262" s="446" t="s">
        <v>3410</v>
      </c>
      <c r="Z262" s="446"/>
      <c r="AA262" s="28"/>
      <c r="AB262" s="28"/>
      <c r="AC262" s="997"/>
      <c r="AD262" s="536"/>
    </row>
    <row r="263" spans="2:30" ht="10.5" customHeight="1">
      <c r="B263" s="292"/>
      <c r="C263" s="393" t="s">
        <v>2412</v>
      </c>
      <c r="D263" s="460">
        <v>41400</v>
      </c>
      <c r="F263" s="587"/>
      <c r="G263" s="1079" t="s">
        <v>2608</v>
      </c>
      <c r="H263" s="1079" t="s">
        <v>1323</v>
      </c>
      <c r="I263" s="1080" t="s">
        <v>2059</v>
      </c>
      <c r="J263" s="1080" t="s">
        <v>2630</v>
      </c>
      <c r="K263" s="1081" t="s">
        <v>626</v>
      </c>
      <c r="L263" s="1082" t="s">
        <v>426</v>
      </c>
      <c r="M263" s="2173" t="s">
        <v>2616</v>
      </c>
      <c r="N263" s="2173" t="s">
        <v>167</v>
      </c>
      <c r="O263" s="2174" t="s">
        <v>4458</v>
      </c>
      <c r="P263" s="586" t="s">
        <v>2345</v>
      </c>
      <c r="Q263" s="301"/>
      <c r="R263" s="177"/>
      <c r="S263" s="403"/>
      <c r="T263" s="525" t="s">
        <v>2582</v>
      </c>
      <c r="U263" s="525" t="s">
        <v>2023</v>
      </c>
      <c r="W263" s="446" t="s">
        <v>1753</v>
      </c>
      <c r="X263" s="446" t="s">
        <v>3410</v>
      </c>
      <c r="Z263" s="446"/>
      <c r="AA263" s="28"/>
      <c r="AB263" s="28"/>
      <c r="AC263" s="997"/>
      <c r="AD263" s="536"/>
    </row>
    <row r="264" spans="2:30" ht="10.5" customHeight="1">
      <c r="B264" s="292"/>
      <c r="C264" s="393" t="s">
        <v>2414</v>
      </c>
      <c r="D264" s="460">
        <v>41000</v>
      </c>
      <c r="F264" s="587"/>
      <c r="G264" s="1079" t="s">
        <v>2609</v>
      </c>
      <c r="H264" s="1079" t="s">
        <v>1323</v>
      </c>
      <c r="I264" s="1083" t="s">
        <v>772</v>
      </c>
      <c r="J264" s="1083" t="s">
        <v>2630</v>
      </c>
      <c r="K264" s="1081" t="s">
        <v>2593</v>
      </c>
      <c r="L264" s="1082" t="s">
        <v>426</v>
      </c>
      <c r="M264" s="2173" t="s">
        <v>1207</v>
      </c>
      <c r="N264" s="2173" t="s">
        <v>1217</v>
      </c>
      <c r="O264" s="2174" t="s">
        <v>4459</v>
      </c>
      <c r="P264" s="586" t="s">
        <v>1258</v>
      </c>
      <c r="Q264" s="301"/>
      <c r="R264" s="177"/>
      <c r="S264" s="403"/>
      <c r="T264" s="525" t="s">
        <v>2084</v>
      </c>
      <c r="U264" s="525" t="s">
        <v>201</v>
      </c>
      <c r="W264" s="446" t="s">
        <v>637</v>
      </c>
      <c r="X264" s="446" t="s">
        <v>3410</v>
      </c>
      <c r="Z264" s="446"/>
      <c r="AA264" s="28"/>
      <c r="AB264" s="28"/>
      <c r="AC264" s="997"/>
      <c r="AD264" s="536"/>
    </row>
    <row r="265" spans="2:30" ht="10.5" customHeight="1">
      <c r="B265" s="292"/>
      <c r="C265" s="393" t="s">
        <v>2416</v>
      </c>
      <c r="D265" s="460">
        <v>44800</v>
      </c>
      <c r="F265" s="587"/>
      <c r="G265" s="1079" t="s">
        <v>1101</v>
      </c>
      <c r="H265" s="1079" t="s">
        <v>1323</v>
      </c>
      <c r="I265" s="1083" t="s">
        <v>1102</v>
      </c>
      <c r="J265" s="1083" t="s">
        <v>2629</v>
      </c>
      <c r="K265" s="1081" t="s">
        <v>1968</v>
      </c>
      <c r="L265" s="1082" t="s">
        <v>425</v>
      </c>
      <c r="M265" s="2175" t="s">
        <v>2616</v>
      </c>
      <c r="N265" s="2175" t="s">
        <v>1332</v>
      </c>
      <c r="O265" s="2174" t="s">
        <v>4460</v>
      </c>
      <c r="P265" s="586" t="s">
        <v>1260</v>
      </c>
      <c r="Q265" s="301"/>
      <c r="R265" s="177"/>
      <c r="S265" s="403"/>
      <c r="T265" s="525" t="s">
        <v>2870</v>
      </c>
      <c r="U265" s="525" t="s">
        <v>668</v>
      </c>
      <c r="W265" s="446" t="s">
        <v>2304</v>
      </c>
      <c r="X265" s="446" t="s">
        <v>3410</v>
      </c>
      <c r="Z265" s="446"/>
      <c r="AA265" s="28"/>
      <c r="AB265" s="28"/>
      <c r="AC265" s="997"/>
      <c r="AD265" s="536"/>
    </row>
    <row r="266" spans="2:30" ht="10.5" customHeight="1">
      <c r="F266" s="587"/>
      <c r="G266" s="1079" t="s">
        <v>1103</v>
      </c>
      <c r="H266" s="1079" t="s">
        <v>1323</v>
      </c>
      <c r="I266" s="1083" t="s">
        <v>772</v>
      </c>
      <c r="J266" s="1083" t="s">
        <v>2630</v>
      </c>
      <c r="K266" s="1081" t="s">
        <v>2593</v>
      </c>
      <c r="L266" s="1082" t="s">
        <v>426</v>
      </c>
      <c r="M266" s="2173" t="s">
        <v>1207</v>
      </c>
      <c r="N266" s="2173" t="s">
        <v>1217</v>
      </c>
      <c r="O266" s="2174" t="s">
        <v>4461</v>
      </c>
      <c r="P266" s="586" t="s">
        <v>1262</v>
      </c>
      <c r="Q266" s="301"/>
      <c r="R266" s="177"/>
      <c r="S266" s="403"/>
      <c r="T266" s="525" t="s">
        <v>2086</v>
      </c>
      <c r="U266" s="525" t="s">
        <v>201</v>
      </c>
      <c r="W266" s="446" t="s">
        <v>1043</v>
      </c>
      <c r="X266" s="446" t="s">
        <v>3410</v>
      </c>
      <c r="AA266" s="28"/>
      <c r="AB266" s="28"/>
      <c r="AC266" s="997"/>
      <c r="AD266" s="536"/>
    </row>
    <row r="267" spans="2:30" ht="10.5" customHeight="1">
      <c r="F267" s="587"/>
      <c r="G267" s="1079" t="s">
        <v>1104</v>
      </c>
      <c r="H267" s="1079" t="s">
        <v>1223</v>
      </c>
      <c r="I267" s="1080" t="s">
        <v>1105</v>
      </c>
      <c r="J267" s="1080" t="s">
        <v>2629</v>
      </c>
      <c r="K267" s="1081" t="s">
        <v>1969</v>
      </c>
      <c r="L267" s="1082" t="s">
        <v>425</v>
      </c>
      <c r="M267" s="2175" t="s">
        <v>2616</v>
      </c>
      <c r="N267" s="2175" t="s">
        <v>1709</v>
      </c>
      <c r="O267" s="2174" t="s">
        <v>4462</v>
      </c>
      <c r="P267" s="586" t="s">
        <v>1263</v>
      </c>
      <c r="Q267" s="301"/>
      <c r="R267" s="177"/>
      <c r="S267" s="403"/>
      <c r="T267" s="525" t="s">
        <v>682</v>
      </c>
      <c r="U267" s="525" t="s">
        <v>2023</v>
      </c>
      <c r="W267" s="446" t="s">
        <v>1959</v>
      </c>
      <c r="X267" s="446" t="s">
        <v>3410</v>
      </c>
      <c r="AA267" s="28"/>
      <c r="AB267" s="28"/>
      <c r="AC267" s="997"/>
      <c r="AD267" s="536"/>
    </row>
    <row r="268" spans="2:30" ht="10.5" customHeight="1">
      <c r="F268" s="587"/>
      <c r="G268" s="1079" t="s">
        <v>1106</v>
      </c>
      <c r="H268" s="1079" t="s">
        <v>1323</v>
      </c>
      <c r="I268" s="1083" t="s">
        <v>772</v>
      </c>
      <c r="J268" s="1083" t="s">
        <v>2630</v>
      </c>
      <c r="K268" s="1081" t="s">
        <v>2593</v>
      </c>
      <c r="L268" s="1082" t="s">
        <v>426</v>
      </c>
      <c r="M268" s="2173" t="s">
        <v>1207</v>
      </c>
      <c r="N268" s="2173" t="s">
        <v>1217</v>
      </c>
      <c r="O268" s="2174" t="s">
        <v>4463</v>
      </c>
      <c r="P268" s="586" t="s">
        <v>1265</v>
      </c>
      <c r="Q268" s="301"/>
      <c r="R268" s="177"/>
      <c r="S268" s="403"/>
      <c r="T268" s="525" t="s">
        <v>2346</v>
      </c>
      <c r="U268" s="525" t="s">
        <v>123</v>
      </c>
      <c r="W268" s="446" t="s">
        <v>497</v>
      </c>
      <c r="X268" s="446" t="s">
        <v>3410</v>
      </c>
      <c r="AA268" s="28"/>
      <c r="AB268" s="28"/>
      <c r="AC268" s="997"/>
      <c r="AD268" s="536"/>
    </row>
    <row r="269" spans="2:30" ht="10.5" customHeight="1">
      <c r="F269" s="587"/>
      <c r="G269" s="1079" t="s">
        <v>1107</v>
      </c>
      <c r="H269" s="1079" t="s">
        <v>1323</v>
      </c>
      <c r="I269" s="1080" t="s">
        <v>1108</v>
      </c>
      <c r="J269" s="1080" t="s">
        <v>2629</v>
      </c>
      <c r="K269" s="1081" t="s">
        <v>1970</v>
      </c>
      <c r="L269" s="1082" t="s">
        <v>425</v>
      </c>
      <c r="M269" s="2175" t="s">
        <v>2616</v>
      </c>
      <c r="N269" s="2175" t="s">
        <v>1217</v>
      </c>
      <c r="O269" s="2174" t="s">
        <v>4464</v>
      </c>
      <c r="P269" s="586" t="s">
        <v>2510</v>
      </c>
      <c r="Q269" s="301"/>
      <c r="R269" s="177"/>
      <c r="S269" s="403"/>
      <c r="T269" s="525" t="s">
        <v>1259</v>
      </c>
      <c r="U269" s="525" t="s">
        <v>634</v>
      </c>
      <c r="W269" s="446" t="s">
        <v>1659</v>
      </c>
      <c r="X269" s="446" t="s">
        <v>3410</v>
      </c>
      <c r="AA269" s="28"/>
      <c r="AB269" s="28"/>
      <c r="AC269" s="997"/>
      <c r="AD269" s="536"/>
    </row>
    <row r="270" spans="2:30" ht="10.5" customHeight="1">
      <c r="F270" s="587"/>
      <c r="G270" s="1079" t="s">
        <v>1109</v>
      </c>
      <c r="H270" s="1079" t="s">
        <v>1223</v>
      </c>
      <c r="I270" s="1083" t="s">
        <v>1110</v>
      </c>
      <c r="J270" s="1083" t="s">
        <v>2629</v>
      </c>
      <c r="K270" s="1081" t="s">
        <v>1971</v>
      </c>
      <c r="L270" s="1082" t="s">
        <v>425</v>
      </c>
      <c r="M270" s="2175" t="s">
        <v>2616</v>
      </c>
      <c r="N270" s="2175" t="s">
        <v>1332</v>
      </c>
      <c r="O270" s="2174" t="s">
        <v>4465</v>
      </c>
      <c r="P270" s="586" t="s">
        <v>83</v>
      </c>
      <c r="Q270" s="301"/>
      <c r="R270" s="177"/>
      <c r="S270" s="403"/>
      <c r="T270" s="525" t="s">
        <v>1261</v>
      </c>
      <c r="U270" s="525" t="s">
        <v>2260</v>
      </c>
      <c r="W270" s="446" t="s">
        <v>952</v>
      </c>
      <c r="X270" s="446" t="s">
        <v>3410</v>
      </c>
      <c r="AA270" s="28"/>
      <c r="AB270" s="28"/>
      <c r="AC270" s="997"/>
      <c r="AD270" s="536"/>
    </row>
    <row r="271" spans="2:30" ht="10.5" customHeight="1">
      <c r="F271" s="587"/>
      <c r="G271" s="1079" t="s">
        <v>1111</v>
      </c>
      <c r="H271" s="1079" t="s">
        <v>1323</v>
      </c>
      <c r="I271" s="1083" t="s">
        <v>1112</v>
      </c>
      <c r="J271" s="1083" t="s">
        <v>2629</v>
      </c>
      <c r="K271" s="1081" t="s">
        <v>1972</v>
      </c>
      <c r="L271" s="1082" t="s">
        <v>425</v>
      </c>
      <c r="M271" s="2175" t="s">
        <v>2616</v>
      </c>
      <c r="N271" s="2175" t="s">
        <v>1217</v>
      </c>
      <c r="O271" s="2174" t="s">
        <v>4466</v>
      </c>
      <c r="P271" s="586" t="s">
        <v>84</v>
      </c>
      <c r="Q271" s="301"/>
      <c r="R271" s="177"/>
      <c r="S271" s="403"/>
      <c r="T271" s="525" t="s">
        <v>2499</v>
      </c>
      <c r="U271" s="525" t="s">
        <v>1115</v>
      </c>
      <c r="W271" s="446" t="s">
        <v>2323</v>
      </c>
      <c r="X271" s="446" t="s">
        <v>3410</v>
      </c>
      <c r="AA271" s="28"/>
      <c r="AB271" s="28"/>
      <c r="AC271" s="997"/>
      <c r="AD271" s="536"/>
    </row>
    <row r="272" spans="2:30" ht="10.5" customHeight="1">
      <c r="F272" s="587"/>
      <c r="G272" s="1079" t="s">
        <v>1113</v>
      </c>
      <c r="H272" s="1079" t="s">
        <v>1223</v>
      </c>
      <c r="I272" s="1080" t="s">
        <v>1114</v>
      </c>
      <c r="J272" s="1080" t="s">
        <v>2629</v>
      </c>
      <c r="K272" s="1081" t="s">
        <v>1797</v>
      </c>
      <c r="L272" s="1082" t="s">
        <v>425</v>
      </c>
      <c r="M272" s="2175" t="s">
        <v>2616</v>
      </c>
      <c r="N272" s="2175" t="s">
        <v>162</v>
      </c>
      <c r="O272" s="2174" t="s">
        <v>4467</v>
      </c>
      <c r="P272" s="586" t="s">
        <v>85</v>
      </c>
      <c r="Q272" s="301"/>
      <c r="R272" s="177"/>
      <c r="S272" s="403"/>
      <c r="T272" s="525" t="s">
        <v>1264</v>
      </c>
      <c r="U272" s="525" t="s">
        <v>313</v>
      </c>
      <c r="W272" s="446" t="s">
        <v>325</v>
      </c>
      <c r="X272" s="446" t="s">
        <v>3410</v>
      </c>
      <c r="AA272" s="28"/>
      <c r="AB272" s="28"/>
      <c r="AC272" s="997"/>
      <c r="AD272" s="536"/>
    </row>
    <row r="273" spans="6:30" ht="10.5" customHeight="1">
      <c r="F273" s="587"/>
      <c r="G273" s="1079" t="s">
        <v>1115</v>
      </c>
      <c r="H273" s="1079" t="s">
        <v>1323</v>
      </c>
      <c r="I273" s="1080" t="s">
        <v>1116</v>
      </c>
      <c r="J273" s="1080" t="s">
        <v>2629</v>
      </c>
      <c r="K273" s="1081" t="s">
        <v>1798</v>
      </c>
      <c r="L273" s="1082" t="s">
        <v>425</v>
      </c>
      <c r="M273" s="2175" t="s">
        <v>2616</v>
      </c>
      <c r="N273" s="2175" t="s">
        <v>167</v>
      </c>
      <c r="O273" s="2174" t="s">
        <v>4468</v>
      </c>
      <c r="P273" s="586" t="s">
        <v>87</v>
      </c>
      <c r="Q273" s="301"/>
      <c r="R273" s="177"/>
      <c r="S273" s="403"/>
      <c r="T273" s="525" t="s">
        <v>2509</v>
      </c>
      <c r="U273" s="525" t="s">
        <v>115</v>
      </c>
      <c r="W273" s="446" t="s">
        <v>327</v>
      </c>
      <c r="X273" s="446" t="s">
        <v>3410</v>
      </c>
      <c r="AA273" s="28"/>
      <c r="AB273" s="28"/>
      <c r="AC273" s="997"/>
      <c r="AD273" s="536"/>
    </row>
    <row r="274" spans="6:30" ht="10.5" customHeight="1">
      <c r="F274" s="587"/>
      <c r="G274" s="1079" t="s">
        <v>1117</v>
      </c>
      <c r="H274" s="1079" t="s">
        <v>1223</v>
      </c>
      <c r="I274" s="1080" t="s">
        <v>1118</v>
      </c>
      <c r="J274" s="1080" t="s">
        <v>2629</v>
      </c>
      <c r="K274" s="1081" t="s">
        <v>1799</v>
      </c>
      <c r="L274" s="1082" t="s">
        <v>425</v>
      </c>
      <c r="M274" s="2175" t="s">
        <v>2616</v>
      </c>
      <c r="N274" s="2175" t="s">
        <v>1795</v>
      </c>
      <c r="O274" s="2174" t="s">
        <v>4469</v>
      </c>
      <c r="P274" s="586" t="s">
        <v>1239</v>
      </c>
      <c r="Q274" s="301"/>
      <c r="R274" s="177"/>
      <c r="S274" s="403"/>
      <c r="T274" s="525" t="s">
        <v>82</v>
      </c>
      <c r="U274" s="525" t="s">
        <v>198</v>
      </c>
      <c r="W274" s="446" t="s">
        <v>330</v>
      </c>
      <c r="X274" s="446" t="s">
        <v>3410</v>
      </c>
      <c r="AA274" s="28"/>
      <c r="AB274" s="28"/>
      <c r="AC274" s="997"/>
      <c r="AD274" s="536"/>
    </row>
    <row r="275" spans="6:30" ht="10.5" customHeight="1">
      <c r="F275" s="587"/>
      <c r="G275" s="1079" t="s">
        <v>1119</v>
      </c>
      <c r="H275" s="1079" t="s">
        <v>1809</v>
      </c>
      <c r="I275" s="1083" t="s">
        <v>773</v>
      </c>
      <c r="J275" s="1083" t="s">
        <v>2630</v>
      </c>
      <c r="K275" s="1081" t="s">
        <v>2615</v>
      </c>
      <c r="L275" s="1082" t="s">
        <v>426</v>
      </c>
      <c r="M275" s="2175" t="s">
        <v>1207</v>
      </c>
      <c r="N275" s="2175" t="s">
        <v>1342</v>
      </c>
      <c r="O275" s="2174" t="s">
        <v>4470</v>
      </c>
      <c r="P275" s="586" t="s">
        <v>1241</v>
      </c>
      <c r="Q275" s="301"/>
      <c r="R275" s="177"/>
      <c r="S275" s="403"/>
      <c r="T275" s="525" t="s">
        <v>86</v>
      </c>
      <c r="U275" s="525" t="s">
        <v>2199</v>
      </c>
      <c r="W275" s="446" t="s">
        <v>1769</v>
      </c>
      <c r="X275" s="446" t="s">
        <v>3410</v>
      </c>
      <c r="AA275" s="28"/>
      <c r="AB275" s="28"/>
      <c r="AC275" s="997"/>
      <c r="AD275" s="536"/>
    </row>
    <row r="276" spans="6:30" ht="10.5" customHeight="1">
      <c r="F276" s="587"/>
      <c r="G276" s="1079" t="s">
        <v>1120</v>
      </c>
      <c r="H276" s="1079" t="s">
        <v>1323</v>
      </c>
      <c r="I276" s="1083" t="s">
        <v>772</v>
      </c>
      <c r="J276" s="1083" t="s">
        <v>2630</v>
      </c>
      <c r="K276" s="1081" t="s">
        <v>2593</v>
      </c>
      <c r="L276" s="1082" t="s">
        <v>426</v>
      </c>
      <c r="M276" s="2173" t="s">
        <v>1207</v>
      </c>
      <c r="N276" s="2173" t="s">
        <v>1217</v>
      </c>
      <c r="O276" s="2174" t="s">
        <v>4471</v>
      </c>
      <c r="P276" s="586" t="s">
        <v>1243</v>
      </c>
      <c r="Q276" s="301"/>
      <c r="R276" s="177"/>
      <c r="S276" s="403"/>
      <c r="T276" s="525" t="s">
        <v>88</v>
      </c>
      <c r="U276" s="525" t="s">
        <v>1333</v>
      </c>
      <c r="W276" s="446" t="s">
        <v>698</v>
      </c>
      <c r="X276" s="446" t="s">
        <v>3410</v>
      </c>
      <c r="AA276" s="28"/>
      <c r="AB276" s="28"/>
      <c r="AC276" s="997"/>
      <c r="AD276" s="536"/>
    </row>
    <row r="277" spans="6:30" ht="10.5" customHeight="1">
      <c r="F277" s="587"/>
      <c r="G277" s="1079" t="s">
        <v>1121</v>
      </c>
      <c r="H277" s="1079" t="s">
        <v>1323</v>
      </c>
      <c r="I277" s="1080" t="s">
        <v>2183</v>
      </c>
      <c r="J277" s="1080" t="s">
        <v>2629</v>
      </c>
      <c r="K277" s="1081" t="s">
        <v>1800</v>
      </c>
      <c r="L277" s="1082" t="s">
        <v>425</v>
      </c>
      <c r="M277" s="2175" t="s">
        <v>2616</v>
      </c>
      <c r="N277" s="2175" t="s">
        <v>162</v>
      </c>
      <c r="O277" s="2174" t="s">
        <v>4472</v>
      </c>
      <c r="P277" s="586" t="s">
        <v>1245</v>
      </c>
      <c r="Q277" s="301"/>
      <c r="R277" s="177"/>
      <c r="S277" s="403"/>
      <c r="T277" s="525" t="s">
        <v>1240</v>
      </c>
      <c r="U277" s="525" t="s">
        <v>1965</v>
      </c>
      <c r="W277" s="446" t="s">
        <v>2369</v>
      </c>
      <c r="X277" s="446" t="s">
        <v>3410</v>
      </c>
      <c r="AA277" s="28"/>
      <c r="AB277" s="28"/>
      <c r="AC277" s="997"/>
      <c r="AD277" s="536"/>
    </row>
    <row r="278" spans="6:30" ht="10.5" customHeight="1">
      <c r="F278" s="587"/>
      <c r="G278" s="1079" t="s">
        <v>2184</v>
      </c>
      <c r="H278" s="1079" t="s">
        <v>1223</v>
      </c>
      <c r="I278" s="1080" t="s">
        <v>2185</v>
      </c>
      <c r="J278" s="1080" t="s">
        <v>2629</v>
      </c>
      <c r="K278" s="1081" t="s">
        <v>1801</v>
      </c>
      <c r="L278" s="1082" t="s">
        <v>425</v>
      </c>
      <c r="M278" s="2175" t="s">
        <v>2616</v>
      </c>
      <c r="N278" s="2175" t="s">
        <v>1338</v>
      </c>
      <c r="O278" s="2174" t="s">
        <v>4473</v>
      </c>
      <c r="P278" s="586" t="s">
        <v>1247</v>
      </c>
      <c r="Q278" s="301"/>
      <c r="R278" s="177"/>
      <c r="S278" s="403"/>
      <c r="T278" s="525" t="s">
        <v>1242</v>
      </c>
      <c r="U278" s="525" t="s">
        <v>180</v>
      </c>
      <c r="W278" s="446" t="s">
        <v>479</v>
      </c>
      <c r="X278" s="446" t="s">
        <v>3410</v>
      </c>
      <c r="AA278" s="28"/>
      <c r="AB278" s="28"/>
      <c r="AC278" s="997"/>
      <c r="AD278" s="536"/>
    </row>
    <row r="279" spans="6:30" ht="10.5" customHeight="1">
      <c r="F279" s="587"/>
      <c r="G279" s="1079" t="s">
        <v>1620</v>
      </c>
      <c r="H279" s="1079" t="s">
        <v>1620</v>
      </c>
      <c r="I279" s="1079" t="s">
        <v>1620</v>
      </c>
      <c r="J279" s="1080"/>
      <c r="K279" s="1081"/>
      <c r="L279" s="1082"/>
      <c r="M279" s="1079" t="s">
        <v>1620</v>
      </c>
      <c r="N279" s="1079" t="s">
        <v>1620</v>
      </c>
      <c r="O279" s="2174" t="s">
        <v>4474</v>
      </c>
      <c r="P279" s="586" t="s">
        <v>1249</v>
      </c>
      <c r="Q279" s="301"/>
      <c r="R279" s="177"/>
      <c r="S279" s="403"/>
      <c r="T279" s="525" t="s">
        <v>1244</v>
      </c>
      <c r="U279" s="525" t="s">
        <v>1117</v>
      </c>
      <c r="W279" s="446" t="s">
        <v>3403</v>
      </c>
      <c r="X279" s="446" t="s">
        <v>3410</v>
      </c>
      <c r="AA279" s="28"/>
      <c r="AB279" s="28"/>
      <c r="AC279" s="997"/>
      <c r="AD279" s="536"/>
    </row>
    <row r="280" spans="6:30" ht="10.5" customHeight="1">
      <c r="F280" s="587"/>
      <c r="G280" s="1079" t="s">
        <v>2186</v>
      </c>
      <c r="H280" s="1079" t="s">
        <v>1223</v>
      </c>
      <c r="I280" s="1083" t="s">
        <v>2187</v>
      </c>
      <c r="J280" s="1080" t="s">
        <v>2629</v>
      </c>
      <c r="K280" s="1081" t="s">
        <v>460</v>
      </c>
      <c r="L280" s="1082" t="s">
        <v>425</v>
      </c>
      <c r="M280" s="2175" t="s">
        <v>2616</v>
      </c>
      <c r="N280" s="2175" t="s">
        <v>1795</v>
      </c>
      <c r="O280" s="2174" t="s">
        <v>4475</v>
      </c>
      <c r="P280" s="586" t="s">
        <v>900</v>
      </c>
      <c r="Q280" s="301"/>
      <c r="R280" s="177"/>
      <c r="S280" s="403"/>
      <c r="T280" s="292" t="s">
        <v>1246</v>
      </c>
      <c r="U280" s="292" t="s">
        <v>1218</v>
      </c>
      <c r="W280" s="446" t="s">
        <v>3404</v>
      </c>
      <c r="X280" s="446" t="s">
        <v>3410</v>
      </c>
      <c r="AA280" s="28"/>
      <c r="AB280" s="28"/>
      <c r="AC280" s="997"/>
      <c r="AD280" s="536"/>
    </row>
    <row r="281" spans="6:30" ht="10.5" customHeight="1">
      <c r="F281" s="587"/>
      <c r="G281" s="1079" t="s">
        <v>2188</v>
      </c>
      <c r="H281" s="1079" t="s">
        <v>1323</v>
      </c>
      <c r="I281" s="1083" t="s">
        <v>772</v>
      </c>
      <c r="J281" s="1083" t="s">
        <v>2630</v>
      </c>
      <c r="K281" s="1081" t="s">
        <v>2593</v>
      </c>
      <c r="L281" s="1082" t="s">
        <v>426</v>
      </c>
      <c r="M281" s="2173" t="s">
        <v>1207</v>
      </c>
      <c r="N281" s="2175" t="s">
        <v>1217</v>
      </c>
      <c r="O281" s="2174" t="s">
        <v>4476</v>
      </c>
      <c r="P281" s="586" t="s">
        <v>901</v>
      </c>
      <c r="Q281" s="301"/>
      <c r="R281" s="177"/>
      <c r="S281" s="403"/>
      <c r="T281" s="525" t="s">
        <v>1248</v>
      </c>
      <c r="U281" s="525" t="s">
        <v>2199</v>
      </c>
      <c r="W281" s="446" t="s">
        <v>79</v>
      </c>
      <c r="X281" s="446" t="s">
        <v>3410</v>
      </c>
      <c r="AA281" s="28"/>
      <c r="AB281" s="28"/>
      <c r="AC281" s="536"/>
      <c r="AD281" s="536"/>
    </row>
    <row r="282" spans="6:30" ht="10.5" customHeight="1">
      <c r="F282" s="587"/>
      <c r="G282" s="1079" t="s">
        <v>2189</v>
      </c>
      <c r="H282" s="1079" t="s">
        <v>1323</v>
      </c>
      <c r="I282" s="1083" t="s">
        <v>2190</v>
      </c>
      <c r="J282" s="1083" t="s">
        <v>2629</v>
      </c>
      <c r="K282" s="1081" t="s">
        <v>223</v>
      </c>
      <c r="L282" s="1082" t="s">
        <v>425</v>
      </c>
      <c r="M282" s="2175" t="s">
        <v>2616</v>
      </c>
      <c r="N282" s="2173" t="s">
        <v>167</v>
      </c>
      <c r="O282" s="2174" t="s">
        <v>4477</v>
      </c>
      <c r="P282" s="586" t="s">
        <v>903</v>
      </c>
      <c r="Q282" s="301"/>
      <c r="R282" s="177"/>
      <c r="S282" s="403"/>
      <c r="T282" s="525" t="s">
        <v>2505</v>
      </c>
      <c r="U282" s="525" t="s">
        <v>1644</v>
      </c>
      <c r="W282" s="446" t="s">
        <v>2429</v>
      </c>
      <c r="X282" s="446" t="s">
        <v>3410</v>
      </c>
      <c r="AA282" s="28"/>
      <c r="AB282" s="28"/>
      <c r="AC282" s="997"/>
      <c r="AD282" s="536"/>
    </row>
    <row r="283" spans="6:30" ht="10.5" customHeight="1">
      <c r="F283" s="587"/>
      <c r="G283" s="1079" t="s">
        <v>2191</v>
      </c>
      <c r="H283" s="1079" t="s">
        <v>1223</v>
      </c>
      <c r="I283" s="1080" t="s">
        <v>2192</v>
      </c>
      <c r="J283" s="1083" t="s">
        <v>2629</v>
      </c>
      <c r="K283" s="1081" t="s">
        <v>1433</v>
      </c>
      <c r="L283" s="1082" t="s">
        <v>425</v>
      </c>
      <c r="M283" s="2175" t="s">
        <v>2616</v>
      </c>
      <c r="N283" s="2175" t="s">
        <v>162</v>
      </c>
      <c r="O283" s="2174" t="s">
        <v>4478</v>
      </c>
      <c r="P283" s="586" t="s">
        <v>905</v>
      </c>
      <c r="Q283" s="301"/>
      <c r="R283" s="177"/>
      <c r="S283" s="403"/>
      <c r="T283" s="525" t="s">
        <v>162</v>
      </c>
      <c r="U283" s="525" t="s">
        <v>2605</v>
      </c>
      <c r="W283" s="446" t="s">
        <v>619</v>
      </c>
      <c r="X283" s="446" t="s">
        <v>3410</v>
      </c>
      <c r="AA283" s="28"/>
      <c r="AB283" s="28"/>
      <c r="AC283" s="997"/>
      <c r="AD283" s="536"/>
    </row>
    <row r="284" spans="6:30" ht="10.5" customHeight="1">
      <c r="F284" s="587"/>
      <c r="G284" s="1079" t="s">
        <v>2193</v>
      </c>
      <c r="H284" s="1079" t="s">
        <v>1223</v>
      </c>
      <c r="I284" s="1080" t="s">
        <v>2194</v>
      </c>
      <c r="J284" s="1080" t="s">
        <v>2629</v>
      </c>
      <c r="K284" s="1081" t="s">
        <v>1434</v>
      </c>
      <c r="L284" s="1082" t="s">
        <v>425</v>
      </c>
      <c r="M284" s="2175" t="s">
        <v>2616</v>
      </c>
      <c r="N284" s="2175" t="s">
        <v>1795</v>
      </c>
      <c r="O284" s="2174" t="s">
        <v>4479</v>
      </c>
      <c r="P284" s="586" t="s">
        <v>2154</v>
      </c>
      <c r="Q284" s="301"/>
      <c r="R284" s="177"/>
      <c r="S284" s="403"/>
      <c r="T284" s="525" t="s">
        <v>902</v>
      </c>
      <c r="U284" s="525" t="s">
        <v>180</v>
      </c>
      <c r="W284" s="446" t="s">
        <v>976</v>
      </c>
      <c r="X284" s="446" t="s">
        <v>3410</v>
      </c>
      <c r="AA284" s="28"/>
      <c r="AB284" s="28"/>
      <c r="AC284" s="997"/>
      <c r="AD284" s="536"/>
    </row>
    <row r="285" spans="6:30" ht="10.5" customHeight="1">
      <c r="F285" s="587"/>
      <c r="G285" s="1079" t="s">
        <v>2195</v>
      </c>
      <c r="H285" s="1079" t="s">
        <v>1323</v>
      </c>
      <c r="I285" s="1080" t="s">
        <v>2196</v>
      </c>
      <c r="J285" s="1080" t="s">
        <v>2629</v>
      </c>
      <c r="K285" s="1081" t="s">
        <v>1435</v>
      </c>
      <c r="L285" s="1082" t="s">
        <v>425</v>
      </c>
      <c r="M285" s="2175" t="s">
        <v>2616</v>
      </c>
      <c r="N285" s="2175" t="s">
        <v>162</v>
      </c>
      <c r="O285" s="2174" t="s">
        <v>4480</v>
      </c>
      <c r="P285" s="586" t="s">
        <v>2155</v>
      </c>
      <c r="Q285" s="301"/>
      <c r="R285" s="177"/>
      <c r="S285" s="403"/>
      <c r="T285" s="525" t="s">
        <v>904</v>
      </c>
      <c r="U285" s="525" t="s">
        <v>325</v>
      </c>
      <c r="W285" s="446" t="s">
        <v>1504</v>
      </c>
      <c r="X285" s="446" t="s">
        <v>3410</v>
      </c>
      <c r="AA285" s="28"/>
      <c r="AB285" s="28"/>
      <c r="AC285" s="997"/>
      <c r="AD285" s="536"/>
    </row>
    <row r="286" spans="6:30" ht="10.5" customHeight="1">
      <c r="F286" s="587"/>
      <c r="G286" s="1079" t="s">
        <v>2197</v>
      </c>
      <c r="H286" s="1079" t="s">
        <v>1323</v>
      </c>
      <c r="I286" s="1080" t="s">
        <v>2198</v>
      </c>
      <c r="J286" s="1080" t="s">
        <v>2629</v>
      </c>
      <c r="K286" s="1081" t="s">
        <v>2028</v>
      </c>
      <c r="L286" s="1082" t="s">
        <v>425</v>
      </c>
      <c r="M286" s="2175" t="s">
        <v>2616</v>
      </c>
      <c r="N286" s="2175" t="s">
        <v>167</v>
      </c>
      <c r="O286" s="2174" t="s">
        <v>4481</v>
      </c>
      <c r="P286" s="586" t="s">
        <v>2071</v>
      </c>
      <c r="Q286" s="301"/>
      <c r="R286" s="177"/>
      <c r="S286" s="403"/>
      <c r="T286" s="292" t="s">
        <v>906</v>
      </c>
      <c r="U286" s="292" t="s">
        <v>1106</v>
      </c>
      <c r="W286" s="446" t="s">
        <v>2353</v>
      </c>
      <c r="X286" s="446" t="s">
        <v>3410</v>
      </c>
      <c r="AA286" s="28"/>
      <c r="AB286" s="28"/>
      <c r="AC286" s="997"/>
      <c r="AD286" s="536"/>
    </row>
    <row r="287" spans="6:30" ht="10.5" customHeight="1">
      <c r="F287" s="587"/>
      <c r="G287" s="1079" t="s">
        <v>2199</v>
      </c>
      <c r="H287" s="1079" t="s">
        <v>1223</v>
      </c>
      <c r="I287" s="1080" t="s">
        <v>2200</v>
      </c>
      <c r="J287" s="1080" t="s">
        <v>2629</v>
      </c>
      <c r="K287" s="1081" t="s">
        <v>2029</v>
      </c>
      <c r="L287" s="1082" t="s">
        <v>425</v>
      </c>
      <c r="M287" s="2175" t="s">
        <v>2616</v>
      </c>
      <c r="N287" s="2175" t="s">
        <v>1338</v>
      </c>
      <c r="O287" s="2174" t="s">
        <v>4482</v>
      </c>
      <c r="P287" s="586" t="s">
        <v>2073</v>
      </c>
      <c r="Q287" s="301"/>
      <c r="R287" s="177"/>
      <c r="S287" s="403"/>
      <c r="T287" s="525" t="s">
        <v>2583</v>
      </c>
      <c r="U287" s="525" t="s">
        <v>2499</v>
      </c>
      <c r="W287" s="446" t="s">
        <v>829</v>
      </c>
      <c r="X287" s="446" t="s">
        <v>3410</v>
      </c>
      <c r="AA287" s="28"/>
      <c r="AB287" s="28"/>
      <c r="AC287" s="536"/>
      <c r="AD287" s="536"/>
    </row>
    <row r="288" spans="6:30" ht="10.5" customHeight="1">
      <c r="F288" s="587"/>
      <c r="G288" s="1079" t="s">
        <v>2201</v>
      </c>
      <c r="H288" s="1079" t="s">
        <v>1323</v>
      </c>
      <c r="I288" s="1080" t="s">
        <v>879</v>
      </c>
      <c r="J288" s="1080" t="s">
        <v>2629</v>
      </c>
      <c r="K288" s="1081" t="s">
        <v>2030</v>
      </c>
      <c r="L288" s="1082" t="s">
        <v>425</v>
      </c>
      <c r="M288" s="2175" t="s">
        <v>2616</v>
      </c>
      <c r="N288" s="2175" t="s">
        <v>162</v>
      </c>
      <c r="O288" s="2174" t="s">
        <v>4483</v>
      </c>
      <c r="P288" s="586" t="s">
        <v>603</v>
      </c>
      <c r="Q288" s="301"/>
      <c r="R288" s="177"/>
      <c r="S288" s="403"/>
      <c r="T288" s="525" t="s">
        <v>2156</v>
      </c>
      <c r="U288" s="525" t="s">
        <v>1120</v>
      </c>
      <c r="W288" s="446" t="s">
        <v>832</v>
      </c>
      <c r="X288" s="446" t="s">
        <v>3410</v>
      </c>
      <c r="AA288" s="28"/>
      <c r="AB288" s="28"/>
      <c r="AC288" s="997"/>
      <c r="AD288" s="536"/>
    </row>
    <row r="289" spans="6:30" ht="10.5" customHeight="1">
      <c r="F289" s="587"/>
      <c r="G289" s="1079" t="s">
        <v>880</v>
      </c>
      <c r="H289" s="1079" t="s">
        <v>1223</v>
      </c>
      <c r="I289" s="1080" t="s">
        <v>881</v>
      </c>
      <c r="J289" s="1080" t="s">
        <v>2629</v>
      </c>
      <c r="K289" s="1081" t="s">
        <v>2031</v>
      </c>
      <c r="L289" s="1082" t="s">
        <v>425</v>
      </c>
      <c r="M289" s="2175" t="s">
        <v>2616</v>
      </c>
      <c r="N289" s="2175" t="s">
        <v>1795</v>
      </c>
      <c r="O289" s="2174" t="s">
        <v>4484</v>
      </c>
      <c r="P289" s="586" t="s">
        <v>604</v>
      </c>
      <c r="Q289" s="301"/>
      <c r="R289" s="177"/>
      <c r="S289" s="403"/>
      <c r="T289" s="525" t="s">
        <v>2072</v>
      </c>
      <c r="U289" s="525" t="s">
        <v>1679</v>
      </c>
      <c r="W289" s="446" t="s">
        <v>1521</v>
      </c>
      <c r="X289" s="446" t="s">
        <v>3410</v>
      </c>
      <c r="AA289" s="28"/>
      <c r="AB289" s="28"/>
      <c r="AC289" s="997"/>
      <c r="AD289" s="536"/>
    </row>
    <row r="290" spans="6:30" ht="10.5" customHeight="1">
      <c r="F290" s="587"/>
      <c r="G290" s="1079" t="s">
        <v>1678</v>
      </c>
      <c r="H290" s="1079" t="s">
        <v>1223</v>
      </c>
      <c r="I290" s="1083" t="s">
        <v>1795</v>
      </c>
      <c r="J290" s="1080" t="s">
        <v>2630</v>
      </c>
      <c r="K290" s="1081" t="s">
        <v>1171</v>
      </c>
      <c r="L290" s="1082" t="s">
        <v>426</v>
      </c>
      <c r="M290" s="2173" t="s">
        <v>2616</v>
      </c>
      <c r="N290" s="2175" t="s">
        <v>1795</v>
      </c>
      <c r="O290" s="2174" t="s">
        <v>4485</v>
      </c>
      <c r="P290" s="586" t="s">
        <v>606</v>
      </c>
      <c r="Q290" s="301"/>
      <c r="R290" s="177"/>
      <c r="S290" s="403"/>
      <c r="T290" s="525" t="s">
        <v>2074</v>
      </c>
      <c r="U290" s="525" t="s">
        <v>2550</v>
      </c>
      <c r="W290" s="446" t="s">
        <v>487</v>
      </c>
      <c r="X290" s="446" t="s">
        <v>3410</v>
      </c>
      <c r="AA290" s="28"/>
      <c r="AB290" s="28"/>
      <c r="AC290" s="997"/>
      <c r="AD290" s="536"/>
    </row>
    <row r="291" spans="6:30" ht="10.5" customHeight="1">
      <c r="F291" s="587"/>
      <c r="G291" s="1079" t="s">
        <v>1679</v>
      </c>
      <c r="H291" s="1079" t="s">
        <v>1223</v>
      </c>
      <c r="I291" s="1083" t="s">
        <v>1680</v>
      </c>
      <c r="J291" s="1083" t="s">
        <v>2629</v>
      </c>
      <c r="K291" s="1081" t="s">
        <v>2032</v>
      </c>
      <c r="L291" s="1082" t="s">
        <v>425</v>
      </c>
      <c r="M291" s="2175" t="s">
        <v>2616</v>
      </c>
      <c r="N291" s="2173" t="s">
        <v>1709</v>
      </c>
      <c r="O291" s="2174" t="s">
        <v>4486</v>
      </c>
      <c r="P291" s="586" t="s">
        <v>608</v>
      </c>
      <c r="Q291" s="301"/>
      <c r="R291" s="177"/>
      <c r="S291" s="403"/>
      <c r="T291" s="525" t="s">
        <v>834</v>
      </c>
      <c r="U291" s="525" t="s">
        <v>320</v>
      </c>
      <c r="W291" s="446" t="s">
        <v>1405</v>
      </c>
      <c r="X291" s="446" t="s">
        <v>3410</v>
      </c>
      <c r="AA291" s="28"/>
      <c r="AB291" s="28"/>
      <c r="AC291" s="997"/>
      <c r="AD291" s="536"/>
    </row>
    <row r="292" spans="6:30" ht="10.5" customHeight="1">
      <c r="F292" s="587"/>
      <c r="G292" s="1079" t="s">
        <v>1681</v>
      </c>
      <c r="H292" s="1079" t="s">
        <v>1223</v>
      </c>
      <c r="I292" s="1083" t="s">
        <v>1923</v>
      </c>
      <c r="J292" s="1083" t="s">
        <v>2629</v>
      </c>
      <c r="K292" s="1081" t="s">
        <v>1176</v>
      </c>
      <c r="L292" s="1082" t="s">
        <v>425</v>
      </c>
      <c r="M292" s="2175" t="s">
        <v>2616</v>
      </c>
      <c r="N292" s="2175" t="s">
        <v>1795</v>
      </c>
      <c r="O292" s="2174" t="s">
        <v>4487</v>
      </c>
      <c r="P292" s="586" t="s">
        <v>609</v>
      </c>
      <c r="Q292" s="301"/>
      <c r="R292" s="177"/>
      <c r="S292" s="403"/>
      <c r="T292" s="525" t="s">
        <v>605</v>
      </c>
      <c r="U292" s="525" t="s">
        <v>123</v>
      </c>
      <c r="W292" s="446" t="s">
        <v>1407</v>
      </c>
      <c r="X292" s="446" t="s">
        <v>3410</v>
      </c>
      <c r="AA292" s="28"/>
      <c r="AB292" s="28"/>
      <c r="AC292" s="997"/>
      <c r="AD292" s="1000"/>
    </row>
    <row r="293" spans="6:30" ht="10.5" customHeight="1">
      <c r="F293" s="587"/>
      <c r="G293" s="1079" t="s">
        <v>1924</v>
      </c>
      <c r="H293" s="1079" t="s">
        <v>1223</v>
      </c>
      <c r="I293" s="1083" t="s">
        <v>1925</v>
      </c>
      <c r="J293" s="1083" t="s">
        <v>2629</v>
      </c>
      <c r="K293" s="1081" t="s">
        <v>1177</v>
      </c>
      <c r="L293" s="1082" t="s">
        <v>425</v>
      </c>
      <c r="M293" s="2175" t="s">
        <v>2616</v>
      </c>
      <c r="N293" s="2175" t="s">
        <v>1338</v>
      </c>
      <c r="O293" s="2174" t="s">
        <v>4488</v>
      </c>
      <c r="P293" s="586" t="s">
        <v>610</v>
      </c>
      <c r="Q293" s="301"/>
      <c r="R293" s="177"/>
      <c r="S293" s="403"/>
      <c r="T293" s="525" t="s">
        <v>2584</v>
      </c>
      <c r="U293" s="525" t="s">
        <v>1339</v>
      </c>
      <c r="W293" s="446" t="s">
        <v>2508</v>
      </c>
      <c r="X293" s="446" t="s">
        <v>3410</v>
      </c>
      <c r="AA293" s="28"/>
      <c r="AB293" s="28"/>
      <c r="AC293" s="997"/>
      <c r="AD293" s="536"/>
    </row>
    <row r="294" spans="6:30" ht="10.5" customHeight="1">
      <c r="F294" s="587"/>
      <c r="G294" s="1079" t="s">
        <v>1926</v>
      </c>
      <c r="H294" s="1079" t="s">
        <v>1323</v>
      </c>
      <c r="I294" s="1083" t="s">
        <v>1927</v>
      </c>
      <c r="J294" s="1083" t="s">
        <v>2629</v>
      </c>
      <c r="K294" s="1081" t="s">
        <v>1178</v>
      </c>
      <c r="L294" s="1082" t="s">
        <v>425</v>
      </c>
      <c r="M294" s="2175" t="s">
        <v>2616</v>
      </c>
      <c r="N294" s="2175" t="s">
        <v>167</v>
      </c>
      <c r="O294" s="2174" t="s">
        <v>4489</v>
      </c>
      <c r="P294" s="586" t="s">
        <v>612</v>
      </c>
      <c r="Q294" s="301"/>
      <c r="R294" s="177"/>
      <c r="S294" s="403"/>
      <c r="T294" s="525" t="s">
        <v>607</v>
      </c>
      <c r="U294" s="525" t="s">
        <v>2606</v>
      </c>
      <c r="W294" s="446" t="s">
        <v>1067</v>
      </c>
      <c r="X294" s="446" t="s">
        <v>3410</v>
      </c>
      <c r="AA294" s="28"/>
      <c r="AB294" s="28"/>
      <c r="AC294" s="997"/>
      <c r="AD294" s="536"/>
    </row>
    <row r="295" spans="6:30" ht="10.5" customHeight="1">
      <c r="F295" s="587"/>
      <c r="G295" s="1079" t="s">
        <v>1928</v>
      </c>
      <c r="H295" s="1079" t="s">
        <v>1223</v>
      </c>
      <c r="I295" s="1083" t="s">
        <v>1929</v>
      </c>
      <c r="J295" s="1083" t="s">
        <v>2629</v>
      </c>
      <c r="K295" s="1081" t="s">
        <v>1179</v>
      </c>
      <c r="L295" s="1082" t="s">
        <v>425</v>
      </c>
      <c r="M295" s="2175" t="s">
        <v>2616</v>
      </c>
      <c r="N295" s="2175" t="s">
        <v>1332</v>
      </c>
      <c r="O295" s="2174" t="s">
        <v>4490</v>
      </c>
      <c r="P295" s="586" t="s">
        <v>614</v>
      </c>
      <c r="Q295" s="301"/>
      <c r="R295" s="177"/>
      <c r="S295" s="403"/>
      <c r="T295" s="525" t="s">
        <v>2549</v>
      </c>
      <c r="U295" s="525" t="s">
        <v>2608</v>
      </c>
      <c r="W295" s="446" t="s">
        <v>1332</v>
      </c>
      <c r="X295" s="446" t="s">
        <v>3410</v>
      </c>
      <c r="AA295" s="28"/>
      <c r="AB295" s="28"/>
      <c r="AC295" s="997"/>
      <c r="AD295" s="536"/>
    </row>
    <row r="296" spans="6:30" ht="10.5" customHeight="1">
      <c r="F296" s="587"/>
      <c r="G296" s="1079" t="s">
        <v>1930</v>
      </c>
      <c r="H296" s="1079" t="s">
        <v>1323</v>
      </c>
      <c r="I296" s="1080" t="s">
        <v>1931</v>
      </c>
      <c r="J296" s="1083" t="s">
        <v>2629</v>
      </c>
      <c r="K296" s="1081" t="s">
        <v>1180</v>
      </c>
      <c r="L296" s="1082" t="s">
        <v>425</v>
      </c>
      <c r="M296" s="2175" t="s">
        <v>2616</v>
      </c>
      <c r="N296" s="2175" t="s">
        <v>1217</v>
      </c>
      <c r="O296" s="2174" t="s">
        <v>4491</v>
      </c>
      <c r="P296" s="586" t="s">
        <v>552</v>
      </c>
      <c r="Q296" s="301"/>
      <c r="R296" s="177"/>
      <c r="S296" s="403"/>
      <c r="T296" s="525" t="s">
        <v>611</v>
      </c>
      <c r="U296" s="525" t="s">
        <v>2197</v>
      </c>
      <c r="W296" s="446" t="s">
        <v>180</v>
      </c>
      <c r="X296" s="446" t="s">
        <v>3410</v>
      </c>
      <c r="AA296" s="28"/>
      <c r="AB296" s="28"/>
      <c r="AC296" s="997"/>
      <c r="AD296" s="536"/>
    </row>
    <row r="297" spans="6:30" ht="10.5" customHeight="1">
      <c r="F297" s="587"/>
      <c r="G297" s="1079" t="s">
        <v>1932</v>
      </c>
      <c r="H297" s="1079" t="s">
        <v>1223</v>
      </c>
      <c r="I297" s="1083" t="s">
        <v>1933</v>
      </c>
      <c r="J297" s="1080" t="s">
        <v>2629</v>
      </c>
      <c r="K297" s="1081" t="s">
        <v>1181</v>
      </c>
      <c r="L297" s="1082" t="s">
        <v>425</v>
      </c>
      <c r="M297" s="2175" t="s">
        <v>2616</v>
      </c>
      <c r="N297" s="2175" t="s">
        <v>1795</v>
      </c>
      <c r="O297" s="2174" t="s">
        <v>4492</v>
      </c>
      <c r="P297" s="586" t="s">
        <v>1166</v>
      </c>
      <c r="Q297" s="301"/>
      <c r="R297" s="177"/>
      <c r="S297" s="403"/>
      <c r="T297" s="525" t="s">
        <v>2871</v>
      </c>
      <c r="U297" s="525" t="s">
        <v>1111</v>
      </c>
      <c r="W297" s="446" t="s">
        <v>1587</v>
      </c>
      <c r="X297" s="446" t="s">
        <v>3410</v>
      </c>
      <c r="AA297" s="28"/>
      <c r="AB297" s="28"/>
      <c r="AC297" s="997"/>
      <c r="AD297" s="536"/>
    </row>
    <row r="298" spans="6:30" ht="10.5" customHeight="1">
      <c r="F298" s="587"/>
      <c r="G298" s="1079" t="s">
        <v>1934</v>
      </c>
      <c r="H298" s="1079" t="s">
        <v>1323</v>
      </c>
      <c r="I298" s="1083" t="s">
        <v>1332</v>
      </c>
      <c r="J298" s="1083" t="s">
        <v>2630</v>
      </c>
      <c r="K298" s="1081" t="s">
        <v>2596</v>
      </c>
      <c r="L298" s="1082" t="s">
        <v>426</v>
      </c>
      <c r="M298" s="2173" t="s">
        <v>2616</v>
      </c>
      <c r="N298" s="2175" t="s">
        <v>1332</v>
      </c>
      <c r="O298" s="2174" t="s">
        <v>4493</v>
      </c>
      <c r="P298" s="586" t="s">
        <v>755</v>
      </c>
      <c r="Q298" s="301"/>
      <c r="R298" s="177"/>
      <c r="S298" s="403"/>
      <c r="T298" s="525" t="s">
        <v>613</v>
      </c>
      <c r="U298" s="525" t="s">
        <v>1648</v>
      </c>
      <c r="W298" s="446" t="s">
        <v>379</v>
      </c>
      <c r="X298" s="446" t="s">
        <v>3410</v>
      </c>
      <c r="AA298" s="28"/>
      <c r="AB298" s="28"/>
      <c r="AC298" s="997"/>
      <c r="AD298" s="536"/>
    </row>
    <row r="299" spans="6:30" ht="10.5" customHeight="1">
      <c r="F299" s="587"/>
      <c r="G299" s="1079" t="s">
        <v>1935</v>
      </c>
      <c r="H299" s="1079" t="s">
        <v>1323</v>
      </c>
      <c r="I299" s="1083" t="s">
        <v>1936</v>
      </c>
      <c r="J299" s="1083" t="s">
        <v>2629</v>
      </c>
      <c r="K299" s="1081" t="s">
        <v>1182</v>
      </c>
      <c r="L299" s="1082" t="s">
        <v>425</v>
      </c>
      <c r="M299" s="2175" t="s">
        <v>2616</v>
      </c>
      <c r="N299" s="2173" t="s">
        <v>167</v>
      </c>
      <c r="O299" s="2174" t="s">
        <v>4494</v>
      </c>
      <c r="P299" s="586" t="s">
        <v>37</v>
      </c>
      <c r="Q299" s="301"/>
      <c r="R299" s="177"/>
      <c r="S299" s="403"/>
      <c r="T299" s="525" t="s">
        <v>551</v>
      </c>
      <c r="U299" s="525" t="s">
        <v>665</v>
      </c>
      <c r="W299" s="446" t="s">
        <v>381</v>
      </c>
      <c r="X299" s="446" t="s">
        <v>3410</v>
      </c>
      <c r="AA299" s="28"/>
      <c r="AB299" s="28"/>
      <c r="AC299" s="997"/>
      <c r="AD299" s="536"/>
    </row>
    <row r="300" spans="6:30" ht="10.5" customHeight="1">
      <c r="F300" s="587"/>
      <c r="G300" s="1079" t="s">
        <v>2021</v>
      </c>
      <c r="H300" s="1079" t="s">
        <v>1323</v>
      </c>
      <c r="I300" s="1080" t="s">
        <v>2022</v>
      </c>
      <c r="J300" s="1083" t="s">
        <v>2629</v>
      </c>
      <c r="K300" s="1081" t="s">
        <v>1183</v>
      </c>
      <c r="L300" s="1082" t="s">
        <v>425</v>
      </c>
      <c r="M300" s="2175" t="s">
        <v>2616</v>
      </c>
      <c r="N300" s="2175" t="s">
        <v>1217</v>
      </c>
      <c r="O300" s="2174" t="s">
        <v>4495</v>
      </c>
      <c r="P300" s="586" t="s">
        <v>1980</v>
      </c>
      <c r="Q300" s="301"/>
      <c r="R300" s="177"/>
      <c r="S300" s="403"/>
      <c r="T300" s="525" t="s">
        <v>553</v>
      </c>
      <c r="U300" s="525" t="s">
        <v>161</v>
      </c>
      <c r="W300" s="446" t="s">
        <v>1619</v>
      </c>
      <c r="X300" s="446" t="s">
        <v>3410</v>
      </c>
      <c r="AA300" s="28"/>
      <c r="AB300" s="28"/>
      <c r="AC300" s="997"/>
      <c r="AD300" s="536"/>
    </row>
    <row r="301" spans="6:30" ht="10.5" customHeight="1">
      <c r="F301" s="587"/>
      <c r="G301" s="1079" t="s">
        <v>2023</v>
      </c>
      <c r="H301" s="1079" t="s">
        <v>1323</v>
      </c>
      <c r="I301" s="1083" t="s">
        <v>1533</v>
      </c>
      <c r="J301" s="1080" t="s">
        <v>2630</v>
      </c>
      <c r="K301" s="1081" t="s">
        <v>1693</v>
      </c>
      <c r="L301" s="1082" t="s">
        <v>426</v>
      </c>
      <c r="M301" s="2173" t="s">
        <v>2616</v>
      </c>
      <c r="N301" s="2175" t="s">
        <v>1533</v>
      </c>
      <c r="O301" s="2174" t="s">
        <v>4496</v>
      </c>
      <c r="P301" s="586" t="s">
        <v>1982</v>
      </c>
      <c r="Q301" s="301"/>
      <c r="R301" s="177"/>
      <c r="S301" s="403"/>
      <c r="T301" s="525" t="s">
        <v>754</v>
      </c>
      <c r="U301" s="525" t="s">
        <v>1117</v>
      </c>
      <c r="W301" s="446" t="s">
        <v>1098</v>
      </c>
      <c r="X301" s="446" t="s">
        <v>3410</v>
      </c>
      <c r="AA301" s="28"/>
      <c r="AB301" s="28"/>
      <c r="AC301" s="997"/>
      <c r="AD301" s="536"/>
    </row>
    <row r="302" spans="6:30" ht="10.5" customHeight="1">
      <c r="F302" s="587"/>
      <c r="G302" s="1079" t="s">
        <v>2024</v>
      </c>
      <c r="H302" s="1079" t="s">
        <v>1323</v>
      </c>
      <c r="I302" s="1083" t="s">
        <v>772</v>
      </c>
      <c r="J302" s="1083" t="s">
        <v>2630</v>
      </c>
      <c r="K302" s="1081" t="s">
        <v>2593</v>
      </c>
      <c r="L302" s="1082" t="s">
        <v>426</v>
      </c>
      <c r="M302" s="2173" t="s">
        <v>1207</v>
      </c>
      <c r="N302" s="2173" t="s">
        <v>1217</v>
      </c>
      <c r="O302" s="2174" t="s">
        <v>4497</v>
      </c>
      <c r="P302" s="586" t="s">
        <v>336</v>
      </c>
      <c r="Q302" s="301"/>
      <c r="R302" s="177"/>
      <c r="S302" s="403"/>
      <c r="T302" s="525" t="s">
        <v>756</v>
      </c>
      <c r="U302" s="525" t="s">
        <v>122</v>
      </c>
      <c r="W302" s="446" t="s">
        <v>3405</v>
      </c>
      <c r="X302" s="446" t="s">
        <v>3410</v>
      </c>
      <c r="AA302" s="28"/>
      <c r="AB302" s="28"/>
      <c r="AC302" s="997"/>
      <c r="AD302" s="536"/>
    </row>
    <row r="303" spans="6:30" ht="10.5" customHeight="1">
      <c r="F303" s="587"/>
      <c r="G303" s="1079" t="s">
        <v>2025</v>
      </c>
      <c r="H303" s="1079" t="s">
        <v>1223</v>
      </c>
      <c r="I303" s="1083" t="s">
        <v>104</v>
      </c>
      <c r="J303" s="1083" t="s">
        <v>2629</v>
      </c>
      <c r="K303" s="1081" t="s">
        <v>1184</v>
      </c>
      <c r="L303" s="1082" t="s">
        <v>425</v>
      </c>
      <c r="M303" s="2175" t="s">
        <v>2616</v>
      </c>
      <c r="N303" s="2173" t="s">
        <v>1709</v>
      </c>
      <c r="O303" s="2174" t="s">
        <v>4498</v>
      </c>
      <c r="P303" s="586" t="s">
        <v>338</v>
      </c>
      <c r="Q303" s="301"/>
      <c r="R303" s="177"/>
      <c r="S303" s="403"/>
      <c r="T303" s="525" t="s">
        <v>38</v>
      </c>
      <c r="U303" s="525" t="s">
        <v>177</v>
      </c>
      <c r="W303" s="446" t="s">
        <v>3406</v>
      </c>
      <c r="X303" s="446" t="s">
        <v>3410</v>
      </c>
      <c r="AA303" s="28"/>
      <c r="AB303" s="28"/>
      <c r="AC303" s="997"/>
      <c r="AD303" s="536"/>
    </row>
    <row r="304" spans="6:30" ht="10.5" customHeight="1">
      <c r="F304" s="587"/>
      <c r="G304" s="1079" t="s">
        <v>105</v>
      </c>
      <c r="H304" s="1079" t="s">
        <v>1323</v>
      </c>
      <c r="I304" s="1083" t="s">
        <v>106</v>
      </c>
      <c r="J304" s="1083" t="s">
        <v>2629</v>
      </c>
      <c r="K304" s="1081" t="s">
        <v>1185</v>
      </c>
      <c r="L304" s="1082" t="s">
        <v>425</v>
      </c>
      <c r="M304" s="2175" t="s">
        <v>2616</v>
      </c>
      <c r="N304" s="2175" t="s">
        <v>1342</v>
      </c>
      <c r="O304" s="2174" t="s">
        <v>4499</v>
      </c>
      <c r="P304" s="586" t="s">
        <v>340</v>
      </c>
      <c r="Q304" s="301"/>
      <c r="R304" s="177"/>
      <c r="S304" s="403"/>
      <c r="T304" s="525" t="s">
        <v>1981</v>
      </c>
      <c r="U304" s="525" t="s">
        <v>2260</v>
      </c>
      <c r="W304" s="446" t="s">
        <v>526</v>
      </c>
      <c r="X304" s="446" t="s">
        <v>3410</v>
      </c>
      <c r="AA304" s="28"/>
      <c r="AB304" s="28"/>
      <c r="AC304" s="997"/>
      <c r="AD304" s="536"/>
    </row>
    <row r="305" spans="6:30" ht="10.5" customHeight="1">
      <c r="F305" s="587"/>
      <c r="G305" s="1079" t="s">
        <v>107</v>
      </c>
      <c r="H305" s="1079" t="s">
        <v>1323</v>
      </c>
      <c r="I305" s="1083" t="s">
        <v>108</v>
      </c>
      <c r="J305" s="1083" t="s">
        <v>2629</v>
      </c>
      <c r="K305" s="1081" t="s">
        <v>1186</v>
      </c>
      <c r="L305" s="1082" t="s">
        <v>425</v>
      </c>
      <c r="M305" s="2175" t="s">
        <v>2616</v>
      </c>
      <c r="N305" s="2175" t="s">
        <v>1332</v>
      </c>
      <c r="O305" s="2174" t="s">
        <v>4500</v>
      </c>
      <c r="P305" s="586" t="s">
        <v>342</v>
      </c>
      <c r="Q305" s="301"/>
      <c r="R305" s="177"/>
      <c r="S305" s="403"/>
      <c r="T305" s="525" t="s">
        <v>1983</v>
      </c>
      <c r="U305" s="525" t="s">
        <v>2609</v>
      </c>
      <c r="W305" s="446" t="s">
        <v>528</v>
      </c>
      <c r="X305" s="446" t="s">
        <v>3410</v>
      </c>
      <c r="AA305" s="28"/>
      <c r="AB305" s="28"/>
      <c r="AC305" s="997"/>
      <c r="AD305" s="536"/>
    </row>
    <row r="306" spans="6:30" ht="10.5" customHeight="1">
      <c r="F306" s="587"/>
      <c r="G306" s="1079" t="s">
        <v>109</v>
      </c>
      <c r="H306" s="1079" t="s">
        <v>1223</v>
      </c>
      <c r="I306" s="1083" t="s">
        <v>110</v>
      </c>
      <c r="J306" s="1083" t="s">
        <v>2629</v>
      </c>
      <c r="K306" s="1081" t="s">
        <v>1187</v>
      </c>
      <c r="L306" s="1082" t="s">
        <v>425</v>
      </c>
      <c r="M306" s="2175" t="s">
        <v>2616</v>
      </c>
      <c r="N306" s="2175" t="s">
        <v>1338</v>
      </c>
      <c r="O306" s="2174" t="s">
        <v>4501</v>
      </c>
      <c r="P306" s="586" t="s">
        <v>344</v>
      </c>
      <c r="Q306" s="301"/>
      <c r="R306" s="177"/>
      <c r="S306" s="403"/>
      <c r="T306" s="525" t="s">
        <v>337</v>
      </c>
      <c r="U306" s="525" t="s">
        <v>1965</v>
      </c>
      <c r="W306" s="446" t="s">
        <v>534</v>
      </c>
      <c r="X306" s="446" t="s">
        <v>3410</v>
      </c>
      <c r="AA306" s="28"/>
      <c r="AB306" s="28"/>
      <c r="AC306" s="997"/>
      <c r="AD306" s="536"/>
    </row>
    <row r="307" spans="6:30" ht="10.5" customHeight="1">
      <c r="F307" s="587"/>
      <c r="G307" s="1079" t="s">
        <v>111</v>
      </c>
      <c r="H307" s="1079" t="s">
        <v>1223</v>
      </c>
      <c r="I307" s="1083" t="s">
        <v>112</v>
      </c>
      <c r="J307" s="1083" t="s">
        <v>2629</v>
      </c>
      <c r="K307" s="1081" t="s">
        <v>1188</v>
      </c>
      <c r="L307" s="1082" t="s">
        <v>425</v>
      </c>
      <c r="M307" s="2175" t="s">
        <v>2616</v>
      </c>
      <c r="N307" s="2175" t="s">
        <v>162</v>
      </c>
      <c r="O307" s="2174" t="s">
        <v>4502</v>
      </c>
      <c r="P307" s="586" t="s">
        <v>346</v>
      </c>
      <c r="Q307" s="301"/>
      <c r="R307" s="177"/>
      <c r="S307" s="403"/>
      <c r="T307" s="525" t="s">
        <v>339</v>
      </c>
      <c r="U307" s="525" t="s">
        <v>883</v>
      </c>
      <c r="W307" s="446" t="s">
        <v>547</v>
      </c>
      <c r="X307" s="446" t="s">
        <v>3410</v>
      </c>
      <c r="AA307" s="28"/>
      <c r="AB307" s="28"/>
      <c r="AC307" s="997"/>
      <c r="AD307" s="536"/>
    </row>
    <row r="308" spans="6:30" ht="10.5" customHeight="1">
      <c r="F308" s="587"/>
      <c r="G308" s="1079" t="s">
        <v>113</v>
      </c>
      <c r="H308" s="1079" t="s">
        <v>1223</v>
      </c>
      <c r="I308" s="1083" t="s">
        <v>114</v>
      </c>
      <c r="J308" s="1083" t="s">
        <v>2629</v>
      </c>
      <c r="K308" s="1081" t="s">
        <v>2373</v>
      </c>
      <c r="L308" s="1082" t="s">
        <v>425</v>
      </c>
      <c r="M308" s="2175" t="s">
        <v>2616</v>
      </c>
      <c r="N308" s="2175" t="s">
        <v>1332</v>
      </c>
      <c r="O308" s="2174" t="s">
        <v>4503</v>
      </c>
      <c r="P308" s="586" t="s">
        <v>1955</v>
      </c>
      <c r="Q308" s="301"/>
      <c r="R308" s="177"/>
      <c r="S308" s="403"/>
      <c r="T308" s="525" t="s">
        <v>341</v>
      </c>
      <c r="U308" s="525" t="s">
        <v>180</v>
      </c>
      <c r="W308" s="446" t="s">
        <v>1648</v>
      </c>
      <c r="X308" s="446" t="s">
        <v>3410</v>
      </c>
      <c r="AA308" s="28"/>
      <c r="AB308" s="28"/>
      <c r="AC308" s="997"/>
      <c r="AD308" s="536"/>
    </row>
    <row r="309" spans="6:30" ht="10.5" customHeight="1">
      <c r="F309" s="587"/>
      <c r="G309" s="1079" t="s">
        <v>115</v>
      </c>
      <c r="H309" s="1079" t="s">
        <v>1323</v>
      </c>
      <c r="I309" s="1083" t="s">
        <v>116</v>
      </c>
      <c r="J309" s="1083" t="s">
        <v>2629</v>
      </c>
      <c r="K309" s="1081" t="s">
        <v>2374</v>
      </c>
      <c r="L309" s="1082" t="s">
        <v>425</v>
      </c>
      <c r="M309" s="2175" t="s">
        <v>2616</v>
      </c>
      <c r="N309" s="2175" t="s">
        <v>167</v>
      </c>
      <c r="O309" s="2174" t="s">
        <v>4504</v>
      </c>
      <c r="P309" s="586" t="s">
        <v>1957</v>
      </c>
      <c r="Q309" s="301"/>
      <c r="R309" s="177"/>
      <c r="S309" s="403"/>
      <c r="T309" s="525" t="s">
        <v>343</v>
      </c>
      <c r="U309" s="525" t="s">
        <v>2415</v>
      </c>
      <c r="W309" s="446" t="s">
        <v>2111</v>
      </c>
      <c r="X309" s="446" t="s">
        <v>3410</v>
      </c>
      <c r="AA309" s="28"/>
      <c r="AB309" s="28"/>
      <c r="AC309" s="997"/>
      <c r="AD309" s="536"/>
    </row>
    <row r="310" spans="6:30" ht="10.5" customHeight="1">
      <c r="F310" s="587"/>
      <c r="G310" s="1079" t="s">
        <v>1965</v>
      </c>
      <c r="H310" s="1079" t="s">
        <v>1323</v>
      </c>
      <c r="I310" s="1080" t="s">
        <v>337</v>
      </c>
      <c r="J310" s="1083" t="s">
        <v>2630</v>
      </c>
      <c r="K310" s="1081" t="s">
        <v>2375</v>
      </c>
      <c r="L310" s="1082" t="s">
        <v>426</v>
      </c>
      <c r="M310" s="2175" t="s">
        <v>1207</v>
      </c>
      <c r="N310" s="2175" t="s">
        <v>1533</v>
      </c>
      <c r="O310" s="2174" t="s">
        <v>4505</v>
      </c>
      <c r="P310" s="586" t="s">
        <v>2170</v>
      </c>
      <c r="Q310" s="301"/>
      <c r="R310" s="177"/>
      <c r="S310" s="403"/>
      <c r="T310" s="292" t="s">
        <v>345</v>
      </c>
      <c r="U310" s="292" t="s">
        <v>1892</v>
      </c>
      <c r="W310" s="446" t="s">
        <v>3407</v>
      </c>
      <c r="X310" s="446" t="s">
        <v>3410</v>
      </c>
      <c r="AA310" s="28"/>
      <c r="AB310" s="28"/>
      <c r="AC310" s="997"/>
      <c r="AD310" s="536"/>
    </row>
    <row r="311" spans="6:30" ht="10.5" customHeight="1">
      <c r="F311" s="587"/>
      <c r="G311" s="1079" t="s">
        <v>1966</v>
      </c>
      <c r="H311" s="1079" t="s">
        <v>1223</v>
      </c>
      <c r="I311" s="1083" t="s">
        <v>2412</v>
      </c>
      <c r="J311" s="1080" t="s">
        <v>2629</v>
      </c>
      <c r="K311" s="1081" t="s">
        <v>2376</v>
      </c>
      <c r="L311" s="1082" t="s">
        <v>425</v>
      </c>
      <c r="M311" s="2175" t="s">
        <v>2616</v>
      </c>
      <c r="N311" s="2175" t="s">
        <v>1795</v>
      </c>
      <c r="O311" s="2174" t="s">
        <v>4506</v>
      </c>
      <c r="P311" s="586" t="s">
        <v>154</v>
      </c>
      <c r="Q311" s="301"/>
      <c r="R311" s="177"/>
      <c r="S311" s="403"/>
      <c r="T311" s="525" t="s">
        <v>347</v>
      </c>
      <c r="U311" s="525" t="s">
        <v>176</v>
      </c>
      <c r="W311" s="446" t="s">
        <v>2264</v>
      </c>
      <c r="X311" s="446" t="s">
        <v>3410</v>
      </c>
      <c r="AA311" s="28"/>
      <c r="AB311" s="28"/>
      <c r="AC311" s="536"/>
      <c r="AD311" s="536"/>
    </row>
    <row r="312" spans="6:30" ht="10.5" customHeight="1">
      <c r="F312" s="587"/>
      <c r="G312" s="1079" t="s">
        <v>2413</v>
      </c>
      <c r="H312" s="1079" t="s">
        <v>1323</v>
      </c>
      <c r="I312" s="1083" t="s">
        <v>2414</v>
      </c>
      <c r="J312" s="1083" t="s">
        <v>2629</v>
      </c>
      <c r="K312" s="1081" t="s">
        <v>423</v>
      </c>
      <c r="L312" s="1082" t="s">
        <v>425</v>
      </c>
      <c r="M312" s="2175" t="s">
        <v>2616</v>
      </c>
      <c r="N312" s="2175" t="s">
        <v>1342</v>
      </c>
      <c r="O312" s="2174" t="s">
        <v>4507</v>
      </c>
      <c r="P312" s="586" t="s">
        <v>155</v>
      </c>
      <c r="Q312" s="301"/>
      <c r="R312" s="177"/>
      <c r="S312" s="403"/>
      <c r="T312" s="525" t="s">
        <v>1956</v>
      </c>
      <c r="U312" s="525" t="s">
        <v>107</v>
      </c>
      <c r="W312" s="446" t="s">
        <v>400</v>
      </c>
      <c r="X312" s="446" t="s">
        <v>3410</v>
      </c>
      <c r="AA312" s="28"/>
      <c r="AB312" s="28"/>
      <c r="AC312" s="997"/>
      <c r="AD312" s="536"/>
    </row>
    <row r="313" spans="6:30" ht="10.5" customHeight="1">
      <c r="F313" s="587"/>
      <c r="G313" s="1079" t="s">
        <v>2415</v>
      </c>
      <c r="H313" s="1079" t="s">
        <v>1323</v>
      </c>
      <c r="I313" s="1083" t="s">
        <v>2416</v>
      </c>
      <c r="J313" s="1083" t="s">
        <v>2629</v>
      </c>
      <c r="K313" s="1081" t="s">
        <v>424</v>
      </c>
      <c r="L313" s="1082" t="s">
        <v>425</v>
      </c>
      <c r="M313" s="2175" t="s">
        <v>2616</v>
      </c>
      <c r="N313" s="2175" t="s">
        <v>1332</v>
      </c>
      <c r="O313" s="2174" t="s">
        <v>4508</v>
      </c>
      <c r="P313" s="586" t="s">
        <v>1592</v>
      </c>
      <c r="Q313" s="301"/>
      <c r="R313" s="177"/>
      <c r="S313" s="403"/>
      <c r="T313" s="525" t="s">
        <v>197</v>
      </c>
      <c r="U313" s="525" t="s">
        <v>1678</v>
      </c>
      <c r="W313" s="446" t="s">
        <v>1854</v>
      </c>
      <c r="X313" s="446" t="s">
        <v>3410</v>
      </c>
      <c r="AA313" s="28"/>
      <c r="AB313" s="28"/>
      <c r="AC313" s="997"/>
      <c r="AD313" s="536"/>
    </row>
    <row r="314" spans="6:30" ht="10.5" customHeight="1">
      <c r="F314" s="347"/>
      <c r="G314" s="1079" t="s">
        <v>2417</v>
      </c>
      <c r="H314" s="1079" t="s">
        <v>1223</v>
      </c>
      <c r="I314" s="1083" t="s">
        <v>1795</v>
      </c>
      <c r="J314" s="1083" t="s">
        <v>2630</v>
      </c>
      <c r="K314" s="1081" t="s">
        <v>1171</v>
      </c>
      <c r="L314" s="1082" t="s">
        <v>426</v>
      </c>
      <c r="M314" s="2173" t="s">
        <v>2616</v>
      </c>
      <c r="N314" s="2175" t="s">
        <v>1795</v>
      </c>
      <c r="O314" s="2174" t="s">
        <v>4509</v>
      </c>
      <c r="P314" s="586" t="s">
        <v>798</v>
      </c>
      <c r="Q314" s="301"/>
      <c r="R314" s="177"/>
      <c r="S314" s="403"/>
      <c r="T314" s="525" t="s">
        <v>2171</v>
      </c>
      <c r="U314" s="525" t="s">
        <v>197</v>
      </c>
      <c r="W314" s="446" t="s">
        <v>2288</v>
      </c>
      <c r="X314" s="446" t="s">
        <v>3410</v>
      </c>
      <c r="AA314" s="28"/>
      <c r="AB314" s="28"/>
      <c r="AC314" s="997"/>
      <c r="AD314" s="536"/>
    </row>
    <row r="315" spans="6:30" ht="10.5" customHeight="1">
      <c r="F315" s="347"/>
      <c r="G315" s="324"/>
      <c r="H315" s="324"/>
      <c r="I315" s="324"/>
      <c r="J315" s="393"/>
      <c r="K315" s="324"/>
      <c r="L315" s="324"/>
      <c r="M315" s="381"/>
      <c r="N315" s="381"/>
      <c r="O315" s="381"/>
      <c r="P315" s="586" t="s">
        <v>800</v>
      </c>
      <c r="Q315" s="301"/>
      <c r="R315" s="177"/>
      <c r="S315" s="403"/>
      <c r="T315" s="525" t="s">
        <v>696</v>
      </c>
      <c r="U315" s="525" t="s">
        <v>2193</v>
      </c>
      <c r="W315" s="446" t="s">
        <v>567</v>
      </c>
      <c r="X315" s="446" t="s">
        <v>3410</v>
      </c>
      <c r="AA315" s="28"/>
      <c r="AB315" s="28"/>
      <c r="AC315" s="997"/>
      <c r="AD315" s="536"/>
    </row>
    <row r="316" spans="6:30" ht="10.5" customHeight="1">
      <c r="F316" s="347"/>
      <c r="G316" s="324"/>
      <c r="H316" s="324"/>
      <c r="I316" s="324"/>
      <c r="J316" s="324"/>
      <c r="K316" s="324"/>
      <c r="L316" s="324"/>
      <c r="M316" s="324"/>
      <c r="N316" s="381"/>
      <c r="O316" s="381"/>
      <c r="P316" s="586" t="s">
        <v>802</v>
      </c>
      <c r="Q316" s="301"/>
      <c r="R316" s="177"/>
      <c r="S316" s="403"/>
      <c r="T316" s="292" t="s">
        <v>156</v>
      </c>
      <c r="U316" s="292" t="s">
        <v>1891</v>
      </c>
      <c r="W316" s="446" t="s">
        <v>1463</v>
      </c>
      <c r="X316" s="446" t="s">
        <v>3410</v>
      </c>
      <c r="AA316" s="28"/>
      <c r="AB316" s="28"/>
      <c r="AC316" s="997"/>
      <c r="AD316" s="536"/>
    </row>
    <row r="317" spans="6:30" ht="10.5" customHeight="1">
      <c r="F317" s="347"/>
      <c r="G317" s="324"/>
      <c r="H317" s="324"/>
      <c r="I317" s="324"/>
      <c r="J317" s="324"/>
      <c r="K317" s="324"/>
      <c r="L317" s="324"/>
      <c r="M317" s="324"/>
      <c r="N317" s="324"/>
      <c r="O317" s="324"/>
      <c r="P317" s="586" t="s">
        <v>2438</v>
      </c>
      <c r="Q317" s="301"/>
      <c r="R317" s="177"/>
      <c r="S317" s="403"/>
      <c r="T317" s="525" t="s">
        <v>198</v>
      </c>
      <c r="U317" s="525" t="s">
        <v>634</v>
      </c>
      <c r="W317" s="446" t="s">
        <v>1594</v>
      </c>
      <c r="X317" s="446" t="s">
        <v>3410</v>
      </c>
      <c r="AA317" s="28"/>
      <c r="AB317" s="28"/>
      <c r="AC317" s="536"/>
      <c r="AD317" s="536"/>
    </row>
    <row r="318" spans="6:30" ht="10.5" customHeight="1">
      <c r="F318" s="347"/>
      <c r="G318" s="324"/>
      <c r="H318" s="324"/>
      <c r="I318" s="324"/>
      <c r="J318" s="324"/>
      <c r="K318" s="324"/>
      <c r="L318" s="324"/>
      <c r="M318" s="324"/>
      <c r="N318" s="324"/>
      <c r="O318" s="324"/>
      <c r="P318" s="586" t="s">
        <v>2439</v>
      </c>
      <c r="Q318" s="301"/>
      <c r="R318" s="177"/>
      <c r="S318" s="403"/>
      <c r="T318" s="525" t="s">
        <v>2585</v>
      </c>
      <c r="U318" s="525" t="s">
        <v>2025</v>
      </c>
      <c r="W318" s="446" t="s">
        <v>2136</v>
      </c>
      <c r="X318" s="446" t="s">
        <v>3410</v>
      </c>
      <c r="AA318" s="28"/>
      <c r="AB318" s="28"/>
      <c r="AC318" s="997"/>
      <c r="AD318" s="536"/>
    </row>
    <row r="319" spans="6:30" ht="10.5" customHeight="1">
      <c r="F319" s="347"/>
      <c r="G319" s="324"/>
      <c r="H319" s="324"/>
      <c r="I319" s="324"/>
      <c r="J319" s="324"/>
      <c r="K319" s="324"/>
      <c r="L319" s="324"/>
      <c r="M319" s="324"/>
      <c r="N319" s="324"/>
      <c r="O319" s="324"/>
      <c r="P319" s="586" t="s">
        <v>2441</v>
      </c>
      <c r="Q319" s="301"/>
      <c r="R319" s="177"/>
      <c r="S319" s="403"/>
      <c r="T319" s="525" t="s">
        <v>799</v>
      </c>
      <c r="U319" s="525" t="s">
        <v>107</v>
      </c>
      <c r="W319" s="446" t="s">
        <v>2138</v>
      </c>
      <c r="X319" s="446" t="s">
        <v>3410</v>
      </c>
      <c r="AA319" s="28"/>
      <c r="AB319" s="28"/>
      <c r="AC319" s="997"/>
      <c r="AD319" s="536"/>
    </row>
    <row r="320" spans="6:30" ht="10.5" customHeight="1">
      <c r="F320" s="347"/>
      <c r="G320" s="324"/>
      <c r="H320" s="324"/>
      <c r="I320" s="324"/>
      <c r="J320" s="324"/>
      <c r="K320" s="324"/>
      <c r="L320" s="324"/>
      <c r="M320" s="324"/>
      <c r="N320" s="324"/>
      <c r="O320" s="324"/>
      <c r="P320" s="586" t="s">
        <v>2443</v>
      </c>
      <c r="Q320" s="301"/>
      <c r="R320" s="177"/>
      <c r="S320" s="403"/>
      <c r="T320" s="525" t="s">
        <v>801</v>
      </c>
      <c r="U320" s="525" t="s">
        <v>123</v>
      </c>
      <c r="W320" s="446" t="s">
        <v>1453</v>
      </c>
      <c r="X320" s="446" t="s">
        <v>3410</v>
      </c>
      <c r="AA320" s="28"/>
      <c r="AB320" s="28"/>
      <c r="AC320" s="997"/>
      <c r="AD320" s="536"/>
    </row>
    <row r="321" spans="6:30" ht="10.5" customHeight="1">
      <c r="F321" s="347"/>
      <c r="G321" s="324"/>
      <c r="H321" s="324"/>
      <c r="I321" s="324"/>
      <c r="J321" s="324"/>
      <c r="K321" s="324"/>
      <c r="L321" s="324"/>
      <c r="M321" s="324"/>
      <c r="N321" s="324"/>
      <c r="O321" s="324"/>
      <c r="P321" s="586" t="s">
        <v>2444</v>
      </c>
      <c r="Q321" s="301"/>
      <c r="R321" s="177"/>
      <c r="S321" s="403"/>
      <c r="T321" s="525" t="s">
        <v>803</v>
      </c>
      <c r="U321" s="525" t="s">
        <v>328</v>
      </c>
      <c r="W321" s="446" t="s">
        <v>1568</v>
      </c>
      <c r="X321" s="446" t="s">
        <v>3410</v>
      </c>
      <c r="AA321" s="28"/>
      <c r="AB321" s="28"/>
      <c r="AC321" s="997"/>
      <c r="AD321" s="536"/>
    </row>
    <row r="322" spans="6:30" ht="10.5" customHeight="1">
      <c r="F322" s="347"/>
      <c r="G322" s="324"/>
      <c r="H322" s="324"/>
      <c r="I322" s="324"/>
      <c r="J322" s="324"/>
      <c r="K322" s="324"/>
      <c r="L322" s="324"/>
      <c r="M322" s="324"/>
      <c r="N322" s="324"/>
      <c r="O322" s="324"/>
      <c r="P322" s="586" t="s">
        <v>383</v>
      </c>
      <c r="Q322" s="301"/>
      <c r="R322" s="177"/>
      <c r="S322" s="403"/>
      <c r="T322" s="525" t="s">
        <v>2872</v>
      </c>
      <c r="U322" s="525" t="s">
        <v>887</v>
      </c>
      <c r="W322" s="446" t="s">
        <v>1194</v>
      </c>
      <c r="X322" s="446" t="s">
        <v>3410</v>
      </c>
      <c r="AA322" s="28"/>
      <c r="AB322" s="28"/>
      <c r="AC322" s="997"/>
      <c r="AD322" s="536"/>
    </row>
    <row r="323" spans="6:30" ht="10.5" customHeight="1">
      <c r="F323" s="347"/>
      <c r="G323" s="324"/>
      <c r="H323" s="324"/>
      <c r="I323" s="324"/>
      <c r="J323" s="324"/>
      <c r="K323" s="324"/>
      <c r="L323" s="324"/>
      <c r="M323" s="324"/>
      <c r="N323" s="324"/>
      <c r="O323" s="324"/>
      <c r="P323" s="586" t="s">
        <v>48</v>
      </c>
      <c r="Q323" s="301"/>
      <c r="R323" s="177"/>
      <c r="S323" s="403"/>
      <c r="T323" s="292" t="s">
        <v>2440</v>
      </c>
      <c r="U323" s="292" t="s">
        <v>1465</v>
      </c>
      <c r="W323" s="446" t="s">
        <v>1763</v>
      </c>
      <c r="X323" s="446" t="s">
        <v>3410</v>
      </c>
      <c r="AA323" s="28"/>
      <c r="AB323" s="28"/>
      <c r="AC323" s="997"/>
      <c r="AD323" s="536"/>
    </row>
    <row r="324" spans="6:30" ht="10.5" customHeight="1">
      <c r="F324" s="347"/>
      <c r="G324" s="324"/>
      <c r="H324" s="324"/>
      <c r="I324" s="324"/>
      <c r="J324" s="324"/>
      <c r="K324" s="324"/>
      <c r="L324" s="324"/>
      <c r="M324" s="324"/>
      <c r="N324" s="324"/>
      <c r="O324" s="324"/>
      <c r="P324" s="586" t="s">
        <v>50</v>
      </c>
      <c r="Q324" s="301"/>
      <c r="R324" s="177"/>
      <c r="S324" s="403"/>
      <c r="T324" s="525" t="s">
        <v>2442</v>
      </c>
      <c r="U324" s="525" t="s">
        <v>1115</v>
      </c>
      <c r="W324" s="446" t="s">
        <v>1828</v>
      </c>
      <c r="X324" s="446" t="s">
        <v>3410</v>
      </c>
      <c r="AA324" s="28"/>
      <c r="AB324" s="28"/>
      <c r="AC324" s="536"/>
      <c r="AD324" s="536"/>
    </row>
    <row r="325" spans="6:30" ht="10.5" customHeight="1">
      <c r="F325" s="347"/>
      <c r="G325" s="324"/>
      <c r="H325" s="324"/>
      <c r="I325" s="324"/>
      <c r="J325" s="324"/>
      <c r="K325" s="324"/>
      <c r="L325" s="324"/>
      <c r="M325" s="324"/>
      <c r="N325" s="324"/>
      <c r="O325" s="324"/>
      <c r="P325" s="586" t="s">
        <v>1937</v>
      </c>
      <c r="Q325" s="301"/>
      <c r="R325" s="177"/>
      <c r="S325" s="403"/>
      <c r="T325" s="525" t="s">
        <v>2586</v>
      </c>
      <c r="U325" s="525" t="s">
        <v>672</v>
      </c>
      <c r="W325" s="446" t="s">
        <v>1113</v>
      </c>
      <c r="X325" s="446" t="s">
        <v>3410</v>
      </c>
      <c r="AA325" s="28"/>
      <c r="AB325" s="28"/>
      <c r="AC325" s="997"/>
      <c r="AD325" s="536"/>
    </row>
    <row r="326" spans="6:30" ht="10.5" customHeight="1">
      <c r="F326" s="347"/>
      <c r="G326" s="324"/>
      <c r="H326" s="324"/>
      <c r="I326" s="324"/>
      <c r="J326" s="324"/>
      <c r="K326" s="324"/>
      <c r="L326" s="324"/>
      <c r="M326" s="324"/>
      <c r="N326" s="324"/>
      <c r="O326" s="324"/>
      <c r="P326" s="586" t="s">
        <v>1938</v>
      </c>
      <c r="Q326" s="301"/>
      <c r="R326" s="177"/>
      <c r="S326" s="403"/>
      <c r="T326" s="525" t="s">
        <v>382</v>
      </c>
      <c r="U326" s="525" t="s">
        <v>2505</v>
      </c>
      <c r="W326" s="446" t="s">
        <v>3408</v>
      </c>
      <c r="X326" s="446" t="s">
        <v>3410</v>
      </c>
      <c r="AA326" s="28"/>
      <c r="AB326" s="28"/>
      <c r="AC326" s="997"/>
      <c r="AD326" s="536"/>
    </row>
    <row r="327" spans="6:30" ht="10.5" customHeight="1">
      <c r="F327" s="347"/>
      <c r="G327" s="324"/>
      <c r="H327" s="324"/>
      <c r="I327" s="324"/>
      <c r="J327" s="324"/>
      <c r="K327" s="324"/>
      <c r="L327" s="324"/>
      <c r="M327" s="324"/>
      <c r="N327" s="324"/>
      <c r="O327" s="324"/>
      <c r="P327" s="586" t="s">
        <v>1940</v>
      </c>
      <c r="Q327" s="301"/>
      <c r="R327" s="177"/>
      <c r="S327" s="403"/>
      <c r="T327" s="588" t="s">
        <v>384</v>
      </c>
      <c r="U327" s="525" t="s">
        <v>2186</v>
      </c>
      <c r="W327" s="446" t="s">
        <v>2160</v>
      </c>
      <c r="X327" s="446" t="s">
        <v>3410</v>
      </c>
      <c r="AA327" s="28"/>
      <c r="AB327" s="28"/>
      <c r="AC327" s="997"/>
      <c r="AD327" s="536"/>
    </row>
    <row r="328" spans="6:30" ht="10.5" customHeight="1">
      <c r="F328" s="347"/>
      <c r="G328" s="324"/>
      <c r="H328" s="324"/>
      <c r="I328" s="324"/>
      <c r="J328" s="324"/>
      <c r="K328" s="324"/>
      <c r="L328" s="324"/>
      <c r="M328" s="324"/>
      <c r="N328" s="324"/>
      <c r="O328" s="324"/>
      <c r="P328" s="586" t="s">
        <v>1941</v>
      </c>
      <c r="Q328" s="301"/>
      <c r="R328" s="177"/>
      <c r="S328" s="403"/>
      <c r="T328" s="525" t="s">
        <v>49</v>
      </c>
      <c r="U328" s="525" t="s">
        <v>962</v>
      </c>
      <c r="W328" s="446" t="s">
        <v>1531</v>
      </c>
      <c r="X328" s="446" t="s">
        <v>3410</v>
      </c>
      <c r="AA328" s="28"/>
      <c r="AB328" s="28"/>
      <c r="AC328" s="998"/>
      <c r="AD328" s="536"/>
    </row>
    <row r="329" spans="6:30" ht="10.5" customHeight="1">
      <c r="F329" s="347"/>
      <c r="G329" s="324"/>
      <c r="H329" s="324"/>
      <c r="I329" s="324"/>
      <c r="J329" s="324"/>
      <c r="K329" s="324"/>
      <c r="L329" s="324"/>
      <c r="M329" s="324"/>
      <c r="N329" s="324"/>
      <c r="O329" s="324"/>
      <c r="P329" s="586" t="s">
        <v>1942</v>
      </c>
      <c r="Q329" s="301"/>
      <c r="R329" s="177"/>
      <c r="S329" s="403"/>
      <c r="T329" s="525" t="s">
        <v>51</v>
      </c>
      <c r="U329" s="525" t="s">
        <v>634</v>
      </c>
      <c r="W329" s="446" t="s">
        <v>64</v>
      </c>
      <c r="X329" s="446" t="s">
        <v>3410</v>
      </c>
      <c r="AA329" s="28"/>
      <c r="AB329" s="28"/>
      <c r="AC329" s="997"/>
      <c r="AD329" s="536"/>
    </row>
    <row r="330" spans="6:30" ht="10.5" customHeight="1">
      <c r="F330" s="347"/>
      <c r="G330" s="324"/>
      <c r="H330" s="324"/>
      <c r="I330" s="324"/>
      <c r="J330" s="324"/>
      <c r="K330" s="324"/>
      <c r="L330" s="324"/>
      <c r="M330" s="324"/>
      <c r="N330" s="324"/>
      <c r="O330" s="324"/>
      <c r="P330" s="586" t="s">
        <v>1944</v>
      </c>
      <c r="Q330" s="301"/>
      <c r="R330" s="177"/>
      <c r="S330" s="403"/>
      <c r="T330" s="525" t="s">
        <v>882</v>
      </c>
      <c r="U330" s="525" t="s">
        <v>2503</v>
      </c>
      <c r="W330" s="446" t="s">
        <v>68</v>
      </c>
      <c r="X330" s="446" t="s">
        <v>3410</v>
      </c>
      <c r="AA330" s="28"/>
      <c r="AB330" s="28"/>
      <c r="AC330" s="997"/>
      <c r="AD330" s="536"/>
    </row>
    <row r="331" spans="6:30" ht="10.5" customHeight="1">
      <c r="F331" s="347"/>
      <c r="G331" s="324"/>
      <c r="H331" s="324"/>
      <c r="I331" s="324"/>
      <c r="J331" s="324"/>
      <c r="K331" s="324"/>
      <c r="L331" s="324"/>
      <c r="M331" s="324"/>
      <c r="N331" s="324"/>
      <c r="O331" s="324"/>
      <c r="P331" s="586" t="s">
        <v>723</v>
      </c>
      <c r="Q331" s="301"/>
      <c r="R331" s="177"/>
      <c r="S331" s="403"/>
      <c r="T331" s="292" t="s">
        <v>1939</v>
      </c>
      <c r="U331" s="292" t="s">
        <v>882</v>
      </c>
      <c r="W331" s="446" t="s">
        <v>70</v>
      </c>
      <c r="X331" s="446" t="s">
        <v>3410</v>
      </c>
      <c r="AA331" s="28"/>
      <c r="AB331" s="28"/>
      <c r="AC331" s="997"/>
      <c r="AD331" s="536"/>
    </row>
    <row r="332" spans="6:30" ht="10.5" customHeight="1">
      <c r="F332" s="347"/>
      <c r="G332" s="324"/>
      <c r="H332" s="324"/>
      <c r="I332" s="324"/>
      <c r="J332" s="324"/>
      <c r="K332" s="324"/>
      <c r="L332" s="324"/>
      <c r="M332" s="324"/>
      <c r="N332" s="324"/>
      <c r="O332" s="324"/>
      <c r="P332" s="586" t="s">
        <v>1149</v>
      </c>
      <c r="Q332" s="301"/>
      <c r="R332" s="177"/>
      <c r="S332" s="403"/>
      <c r="T332" s="292" t="s">
        <v>2587</v>
      </c>
      <c r="U332" s="292" t="s">
        <v>634</v>
      </c>
      <c r="W332" s="446" t="s">
        <v>785</v>
      </c>
      <c r="X332" s="446" t="s">
        <v>3410</v>
      </c>
      <c r="AA332" s="28"/>
      <c r="AB332" s="28"/>
      <c r="AC332" s="536"/>
      <c r="AD332" s="536"/>
    </row>
    <row r="333" spans="6:30" ht="10.5" customHeight="1">
      <c r="F333" s="347"/>
      <c r="G333" s="324"/>
      <c r="H333" s="324"/>
      <c r="I333" s="324"/>
      <c r="J333" s="324"/>
      <c r="K333" s="324"/>
      <c r="L333" s="324"/>
      <c r="M333" s="324"/>
      <c r="N333" s="324"/>
      <c r="O333" s="324"/>
      <c r="P333" s="586" t="s">
        <v>1151</v>
      </c>
      <c r="Q333" s="301"/>
      <c r="R333" s="177"/>
      <c r="S333" s="403"/>
      <c r="T333" s="525" t="s">
        <v>2873</v>
      </c>
      <c r="U333" s="525" t="s">
        <v>2500</v>
      </c>
      <c r="W333" s="446" t="s">
        <v>950</v>
      </c>
      <c r="X333" s="446" t="s">
        <v>3410</v>
      </c>
      <c r="AA333" s="28"/>
      <c r="AB333" s="28"/>
      <c r="AC333" s="536"/>
      <c r="AD333" s="536"/>
    </row>
    <row r="334" spans="6:30" ht="10.5" customHeight="1">
      <c r="F334" s="347"/>
      <c r="G334" s="324"/>
      <c r="H334" s="324"/>
      <c r="I334" s="324"/>
      <c r="J334" s="324"/>
      <c r="K334" s="324"/>
      <c r="L334" s="324"/>
      <c r="M334" s="324"/>
      <c r="N334" s="324"/>
      <c r="O334" s="324"/>
      <c r="P334" s="586" t="s">
        <v>1153</v>
      </c>
      <c r="Q334" s="301"/>
      <c r="R334" s="177"/>
      <c r="S334" s="403"/>
      <c r="T334" s="525" t="s">
        <v>1943</v>
      </c>
      <c r="U334" s="525" t="s">
        <v>1465</v>
      </c>
      <c r="W334" s="446" t="s">
        <v>1053</v>
      </c>
      <c r="X334" s="446" t="s">
        <v>3410</v>
      </c>
      <c r="AA334" s="28"/>
      <c r="AB334" s="28"/>
      <c r="AC334" s="997"/>
      <c r="AD334" s="536"/>
    </row>
    <row r="335" spans="6:30" ht="10.5" customHeight="1">
      <c r="F335" s="347"/>
      <c r="G335" s="324"/>
      <c r="H335" s="324"/>
      <c r="I335" s="324"/>
      <c r="J335" s="324"/>
      <c r="K335" s="324"/>
      <c r="L335" s="324"/>
      <c r="M335" s="324"/>
      <c r="N335" s="324"/>
      <c r="O335" s="324"/>
      <c r="P335" s="586" t="s">
        <v>2530</v>
      </c>
      <c r="Q335" s="301"/>
      <c r="R335" s="177"/>
      <c r="S335" s="403"/>
      <c r="T335" s="525" t="s">
        <v>1945</v>
      </c>
      <c r="U335" s="525" t="s">
        <v>1465</v>
      </c>
      <c r="W335" s="446" t="s">
        <v>2284</v>
      </c>
      <c r="X335" s="446" t="s">
        <v>3410</v>
      </c>
      <c r="AA335" s="28"/>
      <c r="AB335" s="28"/>
      <c r="AC335" s="997"/>
      <c r="AD335" s="536"/>
    </row>
    <row r="336" spans="6:30" ht="10.5" customHeight="1">
      <c r="F336" s="347"/>
      <c r="G336" s="324"/>
      <c r="H336" s="324"/>
      <c r="I336" s="324"/>
      <c r="J336" s="324"/>
      <c r="K336" s="324"/>
      <c r="L336" s="324"/>
      <c r="M336" s="324"/>
      <c r="N336" s="324"/>
      <c r="O336" s="324"/>
      <c r="P336" s="586" t="s">
        <v>2532</v>
      </c>
      <c r="Q336" s="301"/>
      <c r="R336" s="177"/>
      <c r="S336" s="403"/>
      <c r="T336" s="525" t="s">
        <v>724</v>
      </c>
      <c r="U336" s="525" t="s">
        <v>122</v>
      </c>
      <c r="W336" s="446" t="s">
        <v>2538</v>
      </c>
      <c r="X336" s="446" t="s">
        <v>3410</v>
      </c>
      <c r="AA336" s="28"/>
      <c r="AB336" s="28"/>
      <c r="AC336" s="997"/>
      <c r="AD336" s="536"/>
    </row>
    <row r="337" spans="6:30" ht="10.5" customHeight="1">
      <c r="F337" s="347"/>
      <c r="G337" s="324"/>
      <c r="H337" s="324"/>
      <c r="I337" s="324"/>
      <c r="J337" s="324"/>
      <c r="K337" s="324"/>
      <c r="L337" s="324"/>
      <c r="M337" s="324"/>
      <c r="N337" s="324"/>
      <c r="O337" s="324"/>
      <c r="P337" s="586" t="s">
        <v>189</v>
      </c>
      <c r="Q337" s="301"/>
      <c r="R337" s="177"/>
      <c r="S337" s="403"/>
      <c r="T337" s="525" t="s">
        <v>697</v>
      </c>
      <c r="U337" s="525" t="s">
        <v>634</v>
      </c>
      <c r="W337" s="446" t="s">
        <v>2180</v>
      </c>
      <c r="X337" s="446" t="s">
        <v>3410</v>
      </c>
      <c r="AA337" s="28"/>
      <c r="AB337" s="28"/>
      <c r="AC337" s="997"/>
      <c r="AD337" s="536"/>
    </row>
    <row r="338" spans="6:30" ht="10.5" customHeight="1">
      <c r="F338" s="347"/>
      <c r="G338" s="324"/>
      <c r="H338" s="324"/>
      <c r="I338" s="324"/>
      <c r="J338" s="324"/>
      <c r="K338" s="324"/>
      <c r="L338" s="324"/>
      <c r="M338" s="324"/>
      <c r="N338" s="324"/>
      <c r="O338" s="324"/>
      <c r="P338" s="586" t="s">
        <v>191</v>
      </c>
      <c r="Q338" s="301"/>
      <c r="R338" s="177"/>
      <c r="S338" s="403"/>
      <c r="T338" s="525" t="s">
        <v>2874</v>
      </c>
      <c r="U338" s="525" t="s">
        <v>160</v>
      </c>
      <c r="W338" s="446" t="s">
        <v>1626</v>
      </c>
      <c r="X338" s="446" t="s">
        <v>3410</v>
      </c>
      <c r="AA338" s="28"/>
      <c r="AB338" s="28"/>
      <c r="AC338" s="997"/>
      <c r="AD338" s="536"/>
    </row>
    <row r="339" spans="6:30" ht="10.5" customHeight="1">
      <c r="F339" s="347"/>
      <c r="G339" s="324"/>
      <c r="H339" s="324"/>
      <c r="I339" s="324"/>
      <c r="J339" s="324"/>
      <c r="K339" s="324"/>
      <c r="L339" s="324"/>
      <c r="M339" s="324"/>
      <c r="N339" s="324"/>
      <c r="O339" s="324"/>
      <c r="P339" s="586" t="s">
        <v>1838</v>
      </c>
      <c r="Q339" s="301"/>
      <c r="R339" s="177"/>
      <c r="S339" s="403"/>
      <c r="T339" s="525" t="s">
        <v>2875</v>
      </c>
      <c r="U339" s="525" t="s">
        <v>318</v>
      </c>
      <c r="W339" s="446" t="s">
        <v>2432</v>
      </c>
      <c r="X339" s="446" t="s">
        <v>3410</v>
      </c>
      <c r="AA339" s="28"/>
      <c r="AB339" s="28"/>
      <c r="AC339" s="997"/>
      <c r="AD339" s="536"/>
    </row>
    <row r="340" spans="6:30" ht="10.5" customHeight="1">
      <c r="F340" s="347"/>
      <c r="G340" s="324"/>
      <c r="H340" s="324"/>
      <c r="I340" s="324"/>
      <c r="J340" s="324"/>
      <c r="K340" s="324"/>
      <c r="L340" s="324"/>
      <c r="M340" s="324"/>
      <c r="N340" s="324"/>
      <c r="O340" s="324"/>
      <c r="P340" s="586" t="s">
        <v>1840</v>
      </c>
      <c r="Q340" s="301"/>
      <c r="R340" s="177"/>
      <c r="S340" s="403"/>
      <c r="T340" s="525" t="s">
        <v>1150</v>
      </c>
      <c r="U340" s="525" t="s">
        <v>1465</v>
      </c>
      <c r="W340" s="446" t="s">
        <v>823</v>
      </c>
      <c r="X340" s="446" t="s">
        <v>3410</v>
      </c>
      <c r="AA340" s="28"/>
      <c r="AB340" s="28"/>
      <c r="AC340" s="997"/>
      <c r="AD340" s="536"/>
    </row>
    <row r="341" spans="6:30" ht="10.5" customHeight="1">
      <c r="F341" s="347"/>
      <c r="G341" s="324"/>
      <c r="H341" s="324"/>
      <c r="I341" s="324"/>
      <c r="J341" s="324"/>
      <c r="K341" s="324"/>
      <c r="L341" s="324"/>
      <c r="M341" s="324"/>
      <c r="N341" s="324"/>
      <c r="O341" s="324"/>
      <c r="P341" s="586" t="s">
        <v>1906</v>
      </c>
      <c r="Q341" s="301"/>
      <c r="R341" s="177"/>
      <c r="S341" s="403"/>
      <c r="T341" s="525" t="s">
        <v>1152</v>
      </c>
      <c r="U341" s="525" t="s">
        <v>668</v>
      </c>
      <c r="W341" s="446" t="s">
        <v>169</v>
      </c>
      <c r="X341" s="446" t="s">
        <v>3410</v>
      </c>
      <c r="AA341" s="28"/>
      <c r="AB341" s="28"/>
      <c r="AC341" s="997"/>
      <c r="AD341" s="536"/>
    </row>
    <row r="342" spans="6:30" ht="10.5" customHeight="1">
      <c r="F342" s="347"/>
      <c r="G342" s="324"/>
      <c r="H342" s="324"/>
      <c r="I342" s="324"/>
      <c r="J342" s="324"/>
      <c r="K342" s="324"/>
      <c r="L342" s="324"/>
      <c r="M342" s="324"/>
      <c r="N342" s="324"/>
      <c r="O342" s="324"/>
      <c r="P342" s="586" t="s">
        <v>1908</v>
      </c>
      <c r="Q342" s="301"/>
      <c r="R342" s="177"/>
      <c r="S342" s="403"/>
      <c r="T342" s="525" t="s">
        <v>2588</v>
      </c>
      <c r="U342" s="525" t="s">
        <v>2188</v>
      </c>
      <c r="W342" s="446" t="s">
        <v>1338</v>
      </c>
      <c r="X342" s="446" t="s">
        <v>3410</v>
      </c>
      <c r="AA342" s="28"/>
      <c r="AB342" s="28"/>
      <c r="AC342" s="997"/>
      <c r="AD342" s="536"/>
    </row>
    <row r="343" spans="6:30" ht="10.5" customHeight="1">
      <c r="F343" s="347"/>
      <c r="G343" s="324"/>
      <c r="H343" s="324"/>
      <c r="I343" s="324"/>
      <c r="J343" s="324"/>
      <c r="K343" s="324"/>
      <c r="L343" s="324"/>
      <c r="M343" s="324"/>
      <c r="N343" s="324"/>
      <c r="O343" s="324"/>
      <c r="P343" s="586" t="s">
        <v>1909</v>
      </c>
      <c r="Q343" s="301"/>
      <c r="R343" s="177"/>
      <c r="S343" s="403"/>
      <c r="T343" s="525" t="s">
        <v>2589</v>
      </c>
      <c r="U343" s="525" t="s">
        <v>2548</v>
      </c>
      <c r="W343" s="446" t="s">
        <v>1082</v>
      </c>
      <c r="X343" s="446" t="s">
        <v>3410</v>
      </c>
      <c r="AA343" s="28"/>
      <c r="AB343" s="28"/>
      <c r="AC343" s="997"/>
      <c r="AD343" s="536"/>
    </row>
    <row r="344" spans="6:30" ht="10.5" customHeight="1">
      <c r="F344" s="347"/>
      <c r="G344" s="324"/>
      <c r="H344" s="324"/>
      <c r="I344" s="324"/>
      <c r="J344" s="324"/>
      <c r="K344" s="324"/>
      <c r="L344" s="324"/>
      <c r="M344" s="324"/>
      <c r="N344" s="324"/>
      <c r="O344" s="324"/>
      <c r="P344" s="586" t="s">
        <v>1911</v>
      </c>
      <c r="Q344" s="301"/>
      <c r="R344" s="177"/>
      <c r="S344" s="403"/>
      <c r="T344" s="525" t="s">
        <v>1154</v>
      </c>
      <c r="U344" s="525" t="s">
        <v>1218</v>
      </c>
      <c r="W344" s="446" t="s">
        <v>2008</v>
      </c>
      <c r="X344" s="446" t="s">
        <v>3410</v>
      </c>
      <c r="AA344" s="28"/>
      <c r="AB344" s="28"/>
      <c r="AC344" s="997"/>
      <c r="AD344" s="536"/>
    </row>
    <row r="345" spans="6:30" ht="10.5" customHeight="1">
      <c r="F345" s="347"/>
      <c r="G345" s="324"/>
      <c r="H345" s="324"/>
      <c r="I345" s="324"/>
      <c r="J345" s="324"/>
      <c r="K345" s="324"/>
      <c r="L345" s="324"/>
      <c r="M345" s="324"/>
      <c r="N345" s="324"/>
      <c r="O345" s="324"/>
      <c r="P345" s="586" t="s">
        <v>1913</v>
      </c>
      <c r="Q345" s="301"/>
      <c r="R345" s="177"/>
      <c r="S345" s="403"/>
      <c r="T345" s="525" t="s">
        <v>2531</v>
      </c>
      <c r="U345" s="525" t="s">
        <v>201</v>
      </c>
      <c r="W345" s="446" t="s">
        <v>1903</v>
      </c>
      <c r="X345" s="446" t="s">
        <v>3410</v>
      </c>
      <c r="AA345" s="28"/>
      <c r="AB345" s="28"/>
      <c r="AC345" s="997"/>
      <c r="AD345" s="536"/>
    </row>
    <row r="346" spans="6:30" ht="10.5" customHeight="1">
      <c r="F346" s="347"/>
      <c r="G346" s="324"/>
      <c r="H346" s="324"/>
      <c r="I346" s="324"/>
      <c r="J346" s="324"/>
      <c r="K346" s="324"/>
      <c r="L346" s="324"/>
      <c r="M346" s="324"/>
      <c r="N346" s="324"/>
      <c r="O346" s="324"/>
      <c r="P346" s="586" t="s">
        <v>1947</v>
      </c>
      <c r="Q346" s="301"/>
      <c r="R346" s="177"/>
      <c r="S346" s="403"/>
      <c r="T346" s="525" t="s">
        <v>459</v>
      </c>
      <c r="U346" s="525" t="s">
        <v>1111</v>
      </c>
      <c r="W346" s="446" t="s">
        <v>2553</v>
      </c>
      <c r="X346" s="446" t="s">
        <v>3410</v>
      </c>
      <c r="AA346" s="28"/>
      <c r="AB346" s="28"/>
      <c r="AC346" s="997"/>
      <c r="AD346" s="536"/>
    </row>
    <row r="347" spans="6:30" ht="10.5" customHeight="1">
      <c r="F347" s="347"/>
      <c r="G347" s="324"/>
      <c r="H347" s="324"/>
      <c r="I347" s="324"/>
      <c r="J347" s="324"/>
      <c r="K347" s="324"/>
      <c r="L347" s="324"/>
      <c r="M347" s="324"/>
      <c r="N347" s="324"/>
      <c r="O347" s="324"/>
      <c r="P347" s="586" t="s">
        <v>1949</v>
      </c>
      <c r="Q347" s="301"/>
      <c r="R347" s="177"/>
      <c r="S347" s="403"/>
      <c r="T347" s="292" t="s">
        <v>190</v>
      </c>
      <c r="U347" s="292" t="s">
        <v>670</v>
      </c>
      <c r="W347" s="446" t="s">
        <v>1165</v>
      </c>
      <c r="X347" s="446" t="s">
        <v>3410</v>
      </c>
      <c r="AA347" s="28"/>
      <c r="AB347" s="28"/>
      <c r="AC347" s="997"/>
      <c r="AD347" s="536"/>
    </row>
    <row r="348" spans="6:30" ht="10.5" customHeight="1">
      <c r="F348" s="347"/>
      <c r="G348" s="324"/>
      <c r="H348" s="324"/>
      <c r="I348" s="324"/>
      <c r="J348" s="324"/>
      <c r="K348" s="324"/>
      <c r="L348" s="324"/>
      <c r="M348" s="324"/>
      <c r="N348" s="324"/>
      <c r="O348" s="324"/>
      <c r="P348" s="586" t="s">
        <v>1950</v>
      </c>
      <c r="Q348" s="301"/>
      <c r="R348" s="177"/>
      <c r="S348" s="403"/>
      <c r="T348" s="292" t="s">
        <v>303</v>
      </c>
      <c r="U348" s="292" t="s">
        <v>1344</v>
      </c>
      <c r="W348" s="446" t="s">
        <v>2534</v>
      </c>
      <c r="X348" s="446" t="s">
        <v>3410</v>
      </c>
      <c r="AA348" s="28"/>
      <c r="AB348" s="28"/>
      <c r="AC348" s="536"/>
      <c r="AD348" s="536"/>
    </row>
    <row r="349" spans="6:30" ht="10.5" customHeight="1">
      <c r="F349" s="347"/>
      <c r="G349" s="324"/>
      <c r="H349" s="324"/>
      <c r="I349" s="324"/>
      <c r="J349" s="324"/>
      <c r="K349" s="324"/>
      <c r="L349" s="324"/>
      <c r="M349" s="324"/>
      <c r="N349" s="324"/>
      <c r="O349" s="324"/>
      <c r="P349" s="586" t="s">
        <v>1952</v>
      </c>
      <c r="Q349" s="301"/>
      <c r="R349" s="177"/>
      <c r="S349" s="403"/>
      <c r="T349" s="292" t="s">
        <v>1839</v>
      </c>
      <c r="U349" s="292" t="s">
        <v>887</v>
      </c>
      <c r="W349" s="446" t="s">
        <v>824</v>
      </c>
      <c r="X349" s="446" t="s">
        <v>3410</v>
      </c>
      <c r="AA349" s="28"/>
      <c r="AB349" s="28"/>
      <c r="AC349" s="536"/>
      <c r="AD349" s="536"/>
    </row>
    <row r="350" spans="6:30" ht="10.5" customHeight="1">
      <c r="F350" s="347"/>
      <c r="G350" s="324"/>
      <c r="H350" s="324"/>
      <c r="I350" s="324"/>
      <c r="J350" s="324"/>
      <c r="K350" s="324"/>
      <c r="L350" s="324"/>
      <c r="M350" s="324"/>
      <c r="N350" s="324"/>
      <c r="O350" s="324"/>
      <c r="P350" s="586" t="s">
        <v>1954</v>
      </c>
      <c r="Q350" s="301"/>
      <c r="R350" s="177"/>
      <c r="S350" s="403"/>
      <c r="T350" s="525" t="s">
        <v>1841</v>
      </c>
      <c r="U350" s="525" t="s">
        <v>1121</v>
      </c>
      <c r="W350" s="446" t="s">
        <v>2118</v>
      </c>
      <c r="X350" s="446" t="s">
        <v>3410</v>
      </c>
      <c r="AA350" s="28"/>
      <c r="AB350" s="28"/>
      <c r="AC350" s="536"/>
      <c r="AD350" s="536"/>
    </row>
    <row r="351" spans="6:30" ht="10.5" customHeight="1">
      <c r="F351" s="347"/>
      <c r="G351" s="324"/>
      <c r="H351" s="324"/>
      <c r="I351" s="324"/>
      <c r="J351" s="324"/>
      <c r="K351" s="324"/>
      <c r="L351" s="324"/>
      <c r="M351" s="324"/>
      <c r="N351" s="324"/>
      <c r="O351" s="324"/>
      <c r="P351" s="586" t="s">
        <v>421</v>
      </c>
      <c r="Q351" s="301"/>
      <c r="R351" s="177"/>
      <c r="S351" s="403"/>
      <c r="T351" s="525" t="s">
        <v>1907</v>
      </c>
      <c r="U351" s="525" t="s">
        <v>2505</v>
      </c>
      <c r="W351" s="446" t="s">
        <v>948</v>
      </c>
      <c r="X351" s="446" t="s">
        <v>3410</v>
      </c>
      <c r="AA351" s="28"/>
      <c r="AB351" s="28"/>
      <c r="AC351" s="997"/>
      <c r="AD351" s="536"/>
    </row>
    <row r="352" spans="6:30" ht="10.5" customHeight="1">
      <c r="F352" s="347"/>
      <c r="G352" s="324"/>
      <c r="H352" s="324"/>
      <c r="I352" s="324"/>
      <c r="J352" s="324"/>
      <c r="K352" s="324"/>
      <c r="L352" s="324"/>
      <c r="M352" s="324"/>
      <c r="N352" s="324"/>
      <c r="O352" s="324"/>
      <c r="P352" s="586" t="s">
        <v>134</v>
      </c>
      <c r="Q352" s="301"/>
      <c r="R352" s="177"/>
      <c r="S352" s="403"/>
      <c r="T352" s="292" t="s">
        <v>1910</v>
      </c>
      <c r="U352" s="292" t="s">
        <v>668</v>
      </c>
      <c r="W352" s="446" t="s">
        <v>2518</v>
      </c>
      <c r="X352" s="446" t="s">
        <v>3410</v>
      </c>
      <c r="AA352" s="28"/>
      <c r="AB352" s="28"/>
      <c r="AC352" s="997"/>
      <c r="AD352" s="536"/>
    </row>
    <row r="353" spans="6:30" ht="10.5" customHeight="1">
      <c r="F353" s="347"/>
      <c r="G353" s="324"/>
      <c r="H353" s="324"/>
      <c r="I353" s="324"/>
      <c r="J353" s="324"/>
      <c r="K353" s="324"/>
      <c r="L353" s="324"/>
      <c r="M353" s="324"/>
      <c r="N353" s="324"/>
      <c r="O353" s="324"/>
      <c r="P353" s="586" t="s">
        <v>1687</v>
      </c>
      <c r="Q353" s="301"/>
      <c r="R353" s="177"/>
      <c r="S353" s="403"/>
      <c r="T353" s="525" t="s">
        <v>1912</v>
      </c>
      <c r="U353" s="525" t="s">
        <v>1326</v>
      </c>
      <c r="W353" s="446" t="s">
        <v>1920</v>
      </c>
      <c r="X353" s="446" t="s">
        <v>3410</v>
      </c>
      <c r="AA353" s="28"/>
      <c r="AB353" s="28"/>
      <c r="AC353" s="536"/>
      <c r="AD353" s="536"/>
    </row>
    <row r="354" spans="6:30" ht="10.5" customHeight="1">
      <c r="F354" s="347"/>
      <c r="G354" s="324"/>
      <c r="H354" s="324"/>
      <c r="I354" s="324"/>
      <c r="J354" s="324"/>
      <c r="K354" s="324"/>
      <c r="L354" s="324"/>
      <c r="M354" s="324"/>
      <c r="N354" s="324"/>
      <c r="O354" s="324"/>
      <c r="P354" s="586" t="s">
        <v>1761</v>
      </c>
      <c r="Q354" s="301"/>
      <c r="R354" s="177"/>
      <c r="S354" s="403"/>
      <c r="T354" s="525" t="s">
        <v>2876</v>
      </c>
      <c r="U354" s="525" t="s">
        <v>201</v>
      </c>
      <c r="W354" s="446" t="s">
        <v>1425</v>
      </c>
      <c r="X354" s="446" t="s">
        <v>3410</v>
      </c>
      <c r="AA354" s="28"/>
      <c r="AB354" s="28"/>
      <c r="AC354" s="997"/>
      <c r="AD354" s="536"/>
    </row>
    <row r="355" spans="6:30" ht="10.5" customHeight="1">
      <c r="F355" s="347"/>
      <c r="G355" s="324"/>
      <c r="H355" s="324"/>
      <c r="I355" s="324"/>
      <c r="J355" s="324"/>
      <c r="K355" s="324"/>
      <c r="L355" s="324"/>
      <c r="M355" s="324"/>
      <c r="N355" s="324"/>
      <c r="O355" s="324"/>
      <c r="P355" s="586" t="s">
        <v>2294</v>
      </c>
      <c r="Q355" s="301"/>
      <c r="R355" s="177"/>
      <c r="S355" s="403"/>
      <c r="T355" s="525" t="s">
        <v>1914</v>
      </c>
      <c r="U355" s="525" t="s">
        <v>1329</v>
      </c>
      <c r="W355" s="446" t="s">
        <v>2274</v>
      </c>
      <c r="X355" s="446" t="s">
        <v>3410</v>
      </c>
      <c r="AA355" s="28"/>
      <c r="AB355" s="28"/>
      <c r="AC355" s="997"/>
      <c r="AD355" s="536"/>
    </row>
    <row r="356" spans="6:30" ht="10.5" customHeight="1">
      <c r="F356" s="347"/>
      <c r="G356" s="324"/>
      <c r="H356" s="324"/>
      <c r="I356" s="324"/>
      <c r="J356" s="324"/>
      <c r="K356" s="324"/>
      <c r="L356" s="324"/>
      <c r="M356" s="324"/>
      <c r="N356" s="324"/>
      <c r="O356" s="324"/>
      <c r="P356" s="586" t="s">
        <v>2296</v>
      </c>
      <c r="Q356" s="301"/>
      <c r="R356" s="177"/>
      <c r="S356" s="403"/>
      <c r="T356" s="525" t="s">
        <v>1948</v>
      </c>
      <c r="U356" s="525" t="s">
        <v>320</v>
      </c>
      <c r="W356" s="446" t="s">
        <v>2276</v>
      </c>
      <c r="X356" s="446" t="s">
        <v>3410</v>
      </c>
      <c r="AA356" s="28"/>
      <c r="AB356" s="28"/>
      <c r="AC356" s="997"/>
      <c r="AD356" s="536"/>
    </row>
    <row r="357" spans="6:30" ht="10.5" customHeight="1">
      <c r="F357" s="347"/>
      <c r="G357" s="324"/>
      <c r="H357" s="324"/>
      <c r="I357" s="324"/>
      <c r="J357" s="324"/>
      <c r="K357" s="324"/>
      <c r="L357" s="324"/>
      <c r="M357" s="324"/>
      <c r="N357" s="324"/>
      <c r="O357" s="324"/>
      <c r="P357" s="586" t="s">
        <v>1001</v>
      </c>
      <c r="Q357" s="301"/>
      <c r="R357" s="177"/>
      <c r="S357" s="403"/>
      <c r="T357" s="525" t="s">
        <v>2877</v>
      </c>
      <c r="U357" s="525" t="s">
        <v>661</v>
      </c>
      <c r="W357" s="446" t="s">
        <v>1126</v>
      </c>
      <c r="X357" s="446" t="s">
        <v>3410</v>
      </c>
      <c r="AA357" s="28"/>
      <c r="AB357" s="28"/>
      <c r="AC357" s="997"/>
      <c r="AD357" s="536"/>
    </row>
    <row r="358" spans="6:30" ht="10.5" customHeight="1">
      <c r="F358" s="347"/>
      <c r="G358" s="324"/>
      <c r="H358" s="324"/>
      <c r="I358" s="324"/>
      <c r="J358" s="324"/>
      <c r="K358" s="324"/>
      <c r="L358" s="324"/>
      <c r="M358" s="324"/>
      <c r="N358" s="324"/>
      <c r="O358" s="324"/>
      <c r="P358" s="586" t="s">
        <v>683</v>
      </c>
      <c r="Q358" s="301"/>
      <c r="R358" s="177"/>
      <c r="S358" s="403"/>
      <c r="T358" s="525" t="s">
        <v>1951</v>
      </c>
      <c r="U358" s="525" t="s">
        <v>2603</v>
      </c>
      <c r="W358" s="446" t="s">
        <v>2141</v>
      </c>
      <c r="X358" s="446" t="s">
        <v>3410</v>
      </c>
      <c r="AA358" s="28"/>
      <c r="AB358" s="28"/>
      <c r="AC358" s="997"/>
      <c r="AD358" s="536"/>
    </row>
    <row r="359" spans="6:30" ht="10.5" customHeight="1">
      <c r="F359" s="347"/>
      <c r="G359" s="324"/>
      <c r="H359" s="324"/>
      <c r="I359" s="324"/>
      <c r="J359" s="324"/>
      <c r="K359" s="324"/>
      <c r="L359" s="324"/>
      <c r="M359" s="324"/>
      <c r="N359" s="324"/>
      <c r="O359" s="324"/>
      <c r="P359" s="586" t="s">
        <v>574</v>
      </c>
      <c r="Q359" s="301"/>
      <c r="R359" s="177"/>
      <c r="S359" s="403"/>
      <c r="T359" s="525" t="s">
        <v>1953</v>
      </c>
      <c r="U359" s="525" t="s">
        <v>1326</v>
      </c>
      <c r="W359" s="446" t="s">
        <v>2142</v>
      </c>
      <c r="X359" s="446" t="s">
        <v>3410</v>
      </c>
      <c r="AA359" s="28"/>
      <c r="AB359" s="28"/>
      <c r="AC359" s="997"/>
      <c r="AD359" s="536"/>
    </row>
    <row r="360" spans="6:30" ht="10.5" customHeight="1">
      <c r="F360" s="347"/>
      <c r="G360" s="324"/>
      <c r="H360" s="324"/>
      <c r="I360" s="324"/>
      <c r="J360" s="324"/>
      <c r="K360" s="324"/>
      <c r="L360" s="324"/>
      <c r="M360" s="324"/>
      <c r="N360" s="324"/>
      <c r="O360" s="324"/>
      <c r="P360" s="586" t="s">
        <v>679</v>
      </c>
      <c r="Q360" s="301"/>
      <c r="R360" s="177"/>
      <c r="S360" s="403"/>
      <c r="T360" s="525" t="s">
        <v>2260</v>
      </c>
      <c r="U360" s="525" t="s">
        <v>2545</v>
      </c>
      <c r="W360" s="446" t="s">
        <v>2143</v>
      </c>
      <c r="X360" s="446" t="s">
        <v>3410</v>
      </c>
      <c r="AA360" s="28"/>
      <c r="AB360" s="28"/>
      <c r="AC360" s="997"/>
      <c r="AD360" s="536"/>
    </row>
    <row r="361" spans="6:30" ht="10.5" customHeight="1">
      <c r="F361" s="347"/>
      <c r="G361" s="324"/>
      <c r="H361" s="324"/>
      <c r="I361" s="324"/>
      <c r="J361" s="324"/>
      <c r="K361" s="324"/>
      <c r="L361" s="324"/>
      <c r="M361" s="324"/>
      <c r="N361" s="324"/>
      <c r="O361" s="324"/>
      <c r="P361" s="586" t="s">
        <v>2403</v>
      </c>
      <c r="Q361" s="301"/>
      <c r="R361" s="177"/>
      <c r="S361" s="403"/>
      <c r="T361" s="525" t="s">
        <v>2590</v>
      </c>
      <c r="U361" s="525" t="s">
        <v>2188</v>
      </c>
      <c r="W361" s="446" t="s">
        <v>2348</v>
      </c>
      <c r="X361" s="446" t="s">
        <v>3410</v>
      </c>
      <c r="AA361" s="28"/>
      <c r="AB361" s="28"/>
      <c r="AC361" s="997"/>
      <c r="AD361" s="536"/>
    </row>
    <row r="362" spans="6:30" ht="10.5" customHeight="1">
      <c r="F362" s="347"/>
      <c r="G362" s="324"/>
      <c r="H362" s="324"/>
      <c r="I362" s="324"/>
      <c r="J362" s="324"/>
      <c r="K362" s="324"/>
      <c r="L362" s="324"/>
      <c r="M362" s="324"/>
      <c r="N362" s="324"/>
      <c r="O362" s="324"/>
      <c r="P362" s="586" t="s">
        <v>221</v>
      </c>
      <c r="Q362" s="301"/>
      <c r="R362" s="177"/>
      <c r="S362" s="403"/>
      <c r="T362" s="525" t="s">
        <v>2591</v>
      </c>
      <c r="U362" s="525" t="s">
        <v>2502</v>
      </c>
      <c r="W362" s="446" t="s">
        <v>2350</v>
      </c>
      <c r="X362" s="446" t="s">
        <v>3410</v>
      </c>
      <c r="AA362" s="28"/>
      <c r="AB362" s="28"/>
      <c r="AC362" s="997"/>
      <c r="AD362" s="536"/>
    </row>
    <row r="363" spans="6:30" ht="10.5" customHeight="1">
      <c r="F363" s="347"/>
      <c r="G363" s="324"/>
      <c r="H363" s="324"/>
      <c r="I363" s="324"/>
      <c r="J363" s="324"/>
      <c r="K363" s="324"/>
      <c r="L363" s="324"/>
      <c r="M363" s="324"/>
      <c r="N363" s="324"/>
      <c r="O363" s="324"/>
      <c r="P363" s="586" t="s">
        <v>789</v>
      </c>
      <c r="Q363" s="301"/>
      <c r="R363" s="177"/>
      <c r="S363" s="403"/>
      <c r="T363" s="525" t="s">
        <v>422</v>
      </c>
      <c r="U363" s="525" t="s">
        <v>1218</v>
      </c>
      <c r="W363" s="446" t="s">
        <v>2277</v>
      </c>
      <c r="X363" s="446" t="s">
        <v>3410</v>
      </c>
      <c r="AA363" s="28"/>
      <c r="AB363" s="28"/>
      <c r="AC363" s="997"/>
      <c r="AD363" s="536"/>
    </row>
    <row r="364" spans="6:30" ht="10.5" customHeight="1">
      <c r="F364" s="347"/>
      <c r="G364" s="324"/>
      <c r="H364" s="324"/>
      <c r="I364" s="324"/>
      <c r="J364" s="324"/>
      <c r="K364" s="324"/>
      <c r="L364" s="324"/>
      <c r="M364" s="324"/>
      <c r="N364" s="324"/>
      <c r="O364" s="324"/>
      <c r="P364" s="586" t="s">
        <v>790</v>
      </c>
      <c r="Q364" s="301"/>
      <c r="R364" s="177"/>
      <c r="S364" s="403"/>
      <c r="T364" s="292" t="s">
        <v>229</v>
      </c>
      <c r="U364" s="292" t="s">
        <v>673</v>
      </c>
      <c r="W364" s="446" t="s">
        <v>1639</v>
      </c>
      <c r="X364" s="446" t="s">
        <v>3410</v>
      </c>
      <c r="AA364" s="28"/>
      <c r="AB364" s="28"/>
      <c r="AC364" s="997"/>
      <c r="AD364" s="536"/>
    </row>
    <row r="365" spans="6:30" ht="10.5" customHeight="1">
      <c r="F365" s="347"/>
      <c r="G365" s="324"/>
      <c r="H365" s="324"/>
      <c r="I365" s="324"/>
      <c r="J365" s="324"/>
      <c r="K365" s="324"/>
      <c r="L365" s="324"/>
      <c r="M365" s="324"/>
      <c r="N365" s="324"/>
      <c r="O365" s="324"/>
      <c r="P365" s="586" t="s">
        <v>233</v>
      </c>
      <c r="Q365" s="301"/>
      <c r="R365" s="177"/>
      <c r="S365" s="403"/>
      <c r="T365" s="525" t="s">
        <v>2592</v>
      </c>
      <c r="U365" s="525" t="s">
        <v>2023</v>
      </c>
      <c r="W365" s="446" t="s">
        <v>1699</v>
      </c>
      <c r="X365" s="446" t="s">
        <v>3410</v>
      </c>
      <c r="AA365" s="28"/>
      <c r="AB365" s="28"/>
      <c r="AC365" s="536"/>
      <c r="AD365" s="536"/>
    </row>
    <row r="366" spans="6:30" ht="10.5" customHeight="1">
      <c r="F366" s="347"/>
      <c r="G366" s="324"/>
      <c r="H366" s="324"/>
      <c r="I366" s="324"/>
      <c r="J366" s="324"/>
      <c r="K366" s="324"/>
      <c r="L366" s="324"/>
      <c r="M366" s="324"/>
      <c r="N366" s="324"/>
      <c r="O366" s="324"/>
      <c r="P366" s="586" t="s">
        <v>235</v>
      </c>
      <c r="Q366" s="301"/>
      <c r="R366" s="177"/>
      <c r="S366" s="403"/>
      <c r="T366" s="525" t="s">
        <v>1688</v>
      </c>
      <c r="U366" s="525" t="s">
        <v>2500</v>
      </c>
      <c r="W366" s="446" t="s">
        <v>1087</v>
      </c>
      <c r="X366" s="446" t="s">
        <v>3410</v>
      </c>
      <c r="AA366" s="28"/>
      <c r="AB366" s="28"/>
      <c r="AC366" s="997"/>
      <c r="AD366" s="536"/>
    </row>
    <row r="367" spans="6:30" ht="10.5" customHeight="1">
      <c r="F367" s="347"/>
      <c r="G367" s="324"/>
      <c r="H367" s="324"/>
      <c r="I367" s="324"/>
      <c r="J367" s="324"/>
      <c r="K367" s="324"/>
      <c r="L367" s="324"/>
      <c r="M367" s="324"/>
      <c r="N367" s="324"/>
      <c r="O367" s="324"/>
      <c r="P367" s="586" t="s">
        <v>237</v>
      </c>
      <c r="Q367" s="301"/>
      <c r="R367" s="177"/>
      <c r="S367" s="403"/>
      <c r="T367" s="525" t="s">
        <v>2295</v>
      </c>
      <c r="U367" s="525" t="s">
        <v>663</v>
      </c>
      <c r="W367" s="446" t="s">
        <v>1706</v>
      </c>
      <c r="X367" s="446" t="s">
        <v>3410</v>
      </c>
      <c r="AA367" s="28"/>
      <c r="AB367" s="28"/>
      <c r="AC367" s="997"/>
      <c r="AD367" s="536"/>
    </row>
    <row r="368" spans="6:30" ht="10.5" customHeight="1">
      <c r="F368" s="347"/>
      <c r="G368" s="324"/>
      <c r="H368" s="324"/>
      <c r="I368" s="324"/>
      <c r="J368" s="324"/>
      <c r="K368" s="324"/>
      <c r="L368" s="324"/>
      <c r="M368" s="324"/>
      <c r="N368" s="324"/>
      <c r="O368" s="324"/>
      <c r="P368" s="586" t="s">
        <v>793</v>
      </c>
      <c r="Q368" s="301"/>
      <c r="R368" s="177"/>
      <c r="S368" s="403"/>
      <c r="T368" s="525" t="s">
        <v>2297</v>
      </c>
      <c r="U368" s="525" t="s">
        <v>1327</v>
      </c>
      <c r="W368" s="446" t="s">
        <v>1707</v>
      </c>
      <c r="X368" s="446" t="s">
        <v>3410</v>
      </c>
      <c r="AA368" s="28"/>
      <c r="AB368" s="28"/>
      <c r="AC368" s="997"/>
      <c r="AD368" s="536"/>
    </row>
    <row r="369" spans="6:30" ht="10.5" customHeight="1">
      <c r="F369" s="347"/>
      <c r="G369" s="324"/>
      <c r="H369" s="324"/>
      <c r="I369" s="324"/>
      <c r="J369" s="324"/>
      <c r="K369" s="324"/>
      <c r="L369" s="324"/>
      <c r="M369" s="324"/>
      <c r="N369" s="324"/>
      <c r="O369" s="324"/>
      <c r="P369" s="586" t="s">
        <v>794</v>
      </c>
      <c r="Q369" s="301"/>
      <c r="R369" s="177"/>
      <c r="S369" s="403"/>
      <c r="T369" s="525" t="s">
        <v>1002</v>
      </c>
      <c r="U369" s="525" t="s">
        <v>1468</v>
      </c>
      <c r="W369" s="446" t="s">
        <v>1709</v>
      </c>
      <c r="X369" s="446" t="s">
        <v>3410</v>
      </c>
      <c r="AA369" s="28"/>
      <c r="AB369" s="28"/>
      <c r="AC369" s="997"/>
      <c r="AD369" s="536"/>
    </row>
    <row r="370" spans="6:30" ht="10.5" customHeight="1">
      <c r="F370" s="347"/>
      <c r="G370" s="324"/>
      <c r="H370" s="324"/>
      <c r="I370" s="324"/>
      <c r="J370" s="324"/>
      <c r="K370" s="324"/>
      <c r="L370" s="324"/>
      <c r="M370" s="324"/>
      <c r="N370" s="324"/>
      <c r="O370" s="324"/>
      <c r="P370" s="586" t="s">
        <v>796</v>
      </c>
      <c r="Q370" s="301"/>
      <c r="R370" s="177"/>
      <c r="S370" s="403"/>
      <c r="T370" s="525" t="s">
        <v>575</v>
      </c>
      <c r="U370" s="525" t="s">
        <v>1343</v>
      </c>
      <c r="W370" s="446" t="s">
        <v>1712</v>
      </c>
      <c r="X370" s="446" t="s">
        <v>3410</v>
      </c>
      <c r="AA370" s="28"/>
      <c r="AB370" s="28"/>
      <c r="AC370" s="997"/>
      <c r="AD370" s="536"/>
    </row>
    <row r="371" spans="6:30" ht="10.5" customHeight="1">
      <c r="F371" s="347"/>
      <c r="G371" s="324"/>
      <c r="H371" s="324"/>
      <c r="I371" s="324"/>
      <c r="J371" s="324"/>
      <c r="K371" s="324"/>
      <c r="L371" s="324"/>
      <c r="M371" s="324"/>
      <c r="N371" s="324"/>
      <c r="O371" s="324"/>
      <c r="P371" s="586" t="s">
        <v>1566</v>
      </c>
      <c r="Q371" s="301"/>
      <c r="R371" s="177"/>
      <c r="S371" s="403"/>
      <c r="T371" s="525" t="s">
        <v>680</v>
      </c>
      <c r="U371" s="525" t="s">
        <v>313</v>
      </c>
      <c r="W371" s="446" t="s">
        <v>1714</v>
      </c>
      <c r="X371" s="446" t="s">
        <v>3410</v>
      </c>
      <c r="AA371" s="28"/>
      <c r="AB371" s="28"/>
      <c r="AC371" s="997"/>
      <c r="AD371" s="536"/>
    </row>
    <row r="372" spans="6:30" ht="10.5" customHeight="1">
      <c r="F372" s="347"/>
      <c r="G372" s="324"/>
      <c r="H372" s="324"/>
      <c r="I372" s="324"/>
      <c r="J372" s="324"/>
      <c r="K372" s="324"/>
      <c r="L372" s="324"/>
      <c r="M372" s="324"/>
      <c r="N372" s="324"/>
      <c r="O372" s="324"/>
      <c r="P372" s="586" t="s">
        <v>1232</v>
      </c>
      <c r="Q372" s="301"/>
      <c r="R372" s="177"/>
      <c r="S372" s="403"/>
      <c r="T372" s="525" t="s">
        <v>2404</v>
      </c>
      <c r="U372" s="525" t="s">
        <v>158</v>
      </c>
      <c r="W372" s="446" t="s">
        <v>1715</v>
      </c>
      <c r="X372" s="446" t="s">
        <v>3410</v>
      </c>
      <c r="AA372" s="28"/>
      <c r="AB372" s="28"/>
      <c r="AC372" s="997"/>
      <c r="AD372" s="536"/>
    </row>
    <row r="373" spans="6:30" ht="10.5" customHeight="1">
      <c r="F373" s="347"/>
      <c r="G373" s="324"/>
      <c r="H373" s="324"/>
      <c r="I373" s="324"/>
      <c r="J373" s="324"/>
      <c r="K373" s="324"/>
      <c r="L373" s="324"/>
      <c r="M373" s="324"/>
      <c r="N373" s="324"/>
      <c r="O373" s="324"/>
      <c r="P373" s="586" t="s">
        <v>1234</v>
      </c>
      <c r="Q373" s="301"/>
      <c r="R373" s="177"/>
      <c r="S373" s="403"/>
      <c r="T373" s="525" t="s">
        <v>222</v>
      </c>
      <c r="U373" s="525" t="s">
        <v>2499</v>
      </c>
      <c r="W373" s="446" t="s">
        <v>1717</v>
      </c>
      <c r="X373" s="446" t="s">
        <v>3410</v>
      </c>
      <c r="AA373" s="28"/>
      <c r="AB373" s="28"/>
      <c r="AC373" s="997"/>
      <c r="AD373" s="536"/>
    </row>
    <row r="374" spans="6:30" ht="10.5" customHeight="1">
      <c r="F374" s="347"/>
      <c r="G374" s="324"/>
      <c r="H374" s="324"/>
      <c r="I374" s="324"/>
      <c r="J374" s="324"/>
      <c r="K374" s="324"/>
      <c r="L374" s="324"/>
      <c r="M374" s="324"/>
      <c r="N374" s="324"/>
      <c r="O374" s="324"/>
      <c r="P374" s="586" t="s">
        <v>907</v>
      </c>
      <c r="Q374" s="301"/>
      <c r="R374" s="177"/>
      <c r="S374" s="403"/>
      <c r="T374" s="525" t="s">
        <v>665</v>
      </c>
      <c r="U374" s="525" t="s">
        <v>1648</v>
      </c>
      <c r="W374" s="446" t="s">
        <v>1721</v>
      </c>
      <c r="X374" s="446" t="s">
        <v>3410</v>
      </c>
      <c r="AA374" s="28"/>
      <c r="AB374" s="28"/>
      <c r="AC374" s="997"/>
      <c r="AD374" s="536"/>
    </row>
    <row r="375" spans="6:30" ht="10.5" customHeight="1">
      <c r="F375" s="347"/>
      <c r="G375" s="324"/>
      <c r="H375" s="324"/>
      <c r="I375" s="324"/>
      <c r="J375" s="324"/>
      <c r="K375" s="324"/>
      <c r="L375" s="324"/>
      <c r="M375" s="324"/>
      <c r="N375" s="324"/>
      <c r="O375" s="324"/>
      <c r="P375" s="586" t="s">
        <v>2477</v>
      </c>
      <c r="Q375" s="301"/>
      <c r="R375" s="177"/>
      <c r="S375" s="403"/>
      <c r="T375" s="525" t="s">
        <v>2379</v>
      </c>
      <c r="U375" s="525" t="s">
        <v>2497</v>
      </c>
      <c r="W375" s="446" t="s">
        <v>1722</v>
      </c>
      <c r="X375" s="446" t="s">
        <v>3410</v>
      </c>
      <c r="AA375" s="28"/>
      <c r="AB375" s="28"/>
      <c r="AC375" s="997"/>
      <c r="AD375" s="536"/>
    </row>
    <row r="376" spans="6:30" ht="10.5" customHeight="1">
      <c r="F376" s="347"/>
      <c r="G376" s="324"/>
      <c r="H376" s="324"/>
      <c r="I376" s="324"/>
      <c r="J376" s="324"/>
      <c r="K376" s="324"/>
      <c r="L376" s="324"/>
      <c r="M376" s="324"/>
      <c r="N376" s="324"/>
      <c r="O376" s="324"/>
      <c r="P376" s="586" t="s">
        <v>3755</v>
      </c>
      <c r="Q376" s="301"/>
      <c r="R376" s="177"/>
      <c r="S376" s="403"/>
      <c r="T376" s="525" t="s">
        <v>234</v>
      </c>
      <c r="U376" s="525" t="s">
        <v>1532</v>
      </c>
      <c r="W376" s="446" t="s">
        <v>1723</v>
      </c>
      <c r="X376" s="446" t="s">
        <v>3410</v>
      </c>
      <c r="AA376" s="28"/>
      <c r="AB376" s="28"/>
      <c r="AC376" s="997"/>
      <c r="AD376" s="536"/>
    </row>
    <row r="377" spans="6:30" ht="10.5" customHeight="1">
      <c r="F377" s="347"/>
      <c r="G377" s="324"/>
      <c r="H377" s="324"/>
      <c r="I377" s="324"/>
      <c r="J377" s="324"/>
      <c r="K377" s="324"/>
      <c r="L377" s="324"/>
      <c r="M377" s="324"/>
      <c r="N377" s="324"/>
      <c r="O377" s="324"/>
      <c r="P377" s="586" t="s">
        <v>910</v>
      </c>
      <c r="Q377" s="301"/>
      <c r="R377" s="177"/>
      <c r="S377" s="403"/>
      <c r="T377" s="525" t="s">
        <v>1055</v>
      </c>
      <c r="U377" s="525" t="s">
        <v>1468</v>
      </c>
      <c r="W377" s="446" t="s">
        <v>107</v>
      </c>
      <c r="X377" s="446" t="s">
        <v>3410</v>
      </c>
      <c r="AA377" s="28"/>
      <c r="AB377" s="28"/>
      <c r="AC377" s="997"/>
      <c r="AD377" s="536"/>
    </row>
    <row r="378" spans="6:30" ht="10.5" customHeight="1">
      <c r="F378" s="347"/>
      <c r="G378" s="324"/>
      <c r="H378" s="324"/>
      <c r="I378" s="324"/>
      <c r="J378" s="324"/>
      <c r="K378" s="324"/>
      <c r="L378" s="324"/>
      <c r="M378" s="324"/>
      <c r="N378" s="324"/>
      <c r="O378" s="324"/>
      <c r="P378" s="586" t="s">
        <v>912</v>
      </c>
      <c r="Q378" s="301"/>
      <c r="R378" s="177"/>
      <c r="S378" s="403"/>
      <c r="T378" s="525" t="s">
        <v>236</v>
      </c>
      <c r="U378" s="525" t="s">
        <v>1101</v>
      </c>
      <c r="W378" s="446" t="s">
        <v>298</v>
      </c>
      <c r="X378" s="446" t="s">
        <v>3410</v>
      </c>
      <c r="AA378" s="28"/>
      <c r="AB378" s="28"/>
      <c r="AC378" s="997"/>
      <c r="AD378" s="536"/>
    </row>
    <row r="379" spans="6:30" ht="10.5" customHeight="1">
      <c r="F379" s="347"/>
      <c r="G379" s="324"/>
      <c r="H379" s="324"/>
      <c r="I379" s="324"/>
      <c r="J379" s="324"/>
      <c r="K379" s="324"/>
      <c r="L379" s="324"/>
      <c r="M379" s="324"/>
      <c r="N379" s="324"/>
      <c r="O379" s="324"/>
      <c r="P379" s="586" t="s">
        <v>914</v>
      </c>
      <c r="Q379" s="301"/>
      <c r="R379" s="177"/>
      <c r="S379" s="403"/>
      <c r="T379" s="525" t="s">
        <v>666</v>
      </c>
      <c r="U379" s="525" t="s">
        <v>320</v>
      </c>
      <c r="W379" s="446" t="s">
        <v>299</v>
      </c>
      <c r="X379" s="446" t="s">
        <v>3410</v>
      </c>
      <c r="AA379" s="28"/>
      <c r="AB379" s="28"/>
      <c r="AC379" s="997"/>
      <c r="AD379" s="536"/>
    </row>
    <row r="380" spans="6:30" ht="10.5" customHeight="1">
      <c r="F380" s="347"/>
      <c r="G380" s="324"/>
      <c r="H380" s="324"/>
      <c r="I380" s="324"/>
      <c r="J380" s="324"/>
      <c r="K380" s="324"/>
      <c r="L380" s="324"/>
      <c r="M380" s="324"/>
      <c r="N380" s="324"/>
      <c r="O380" s="324"/>
      <c r="P380" s="586" t="s">
        <v>916</v>
      </c>
      <c r="Q380" s="301"/>
      <c r="R380" s="177"/>
      <c r="S380" s="403"/>
      <c r="T380" s="525" t="s">
        <v>795</v>
      </c>
      <c r="U380" s="525" t="s">
        <v>666</v>
      </c>
      <c r="W380" s="446" t="s">
        <v>300</v>
      </c>
      <c r="X380" s="446" t="s">
        <v>3410</v>
      </c>
      <c r="AA380" s="28"/>
      <c r="AB380" s="28"/>
      <c r="AC380" s="997"/>
      <c r="AD380" s="536"/>
    </row>
    <row r="381" spans="6:30" ht="10.5" customHeight="1">
      <c r="F381" s="347"/>
      <c r="G381" s="324"/>
      <c r="H381" s="324"/>
      <c r="I381" s="324"/>
      <c r="J381" s="324"/>
      <c r="K381" s="324"/>
      <c r="L381" s="324"/>
      <c r="M381" s="324"/>
      <c r="N381" s="324"/>
      <c r="O381" s="324"/>
      <c r="P381" s="586" t="s">
        <v>918</v>
      </c>
      <c r="Q381" s="301"/>
      <c r="R381" s="177"/>
      <c r="S381" s="403"/>
      <c r="T381" s="525" t="s">
        <v>1231</v>
      </c>
      <c r="U381" s="525" t="s">
        <v>2505</v>
      </c>
      <c r="W381" s="446" t="s">
        <v>1553</v>
      </c>
      <c r="X381" s="446" t="s">
        <v>3410</v>
      </c>
      <c r="AA381" s="28"/>
      <c r="AB381" s="28"/>
      <c r="AC381" s="997"/>
      <c r="AD381" s="536"/>
    </row>
    <row r="382" spans="6:30" ht="10.5" customHeight="1">
      <c r="F382" s="347"/>
      <c r="G382" s="324"/>
      <c r="H382" s="324"/>
      <c r="I382" s="324"/>
      <c r="J382" s="324"/>
      <c r="K382" s="324"/>
      <c r="L382" s="324"/>
      <c r="M382" s="324"/>
      <c r="N382" s="324"/>
      <c r="O382" s="324"/>
      <c r="P382" s="586" t="s">
        <v>685</v>
      </c>
      <c r="Q382" s="301"/>
      <c r="R382" s="177"/>
      <c r="S382" s="403"/>
      <c r="T382" s="525" t="s">
        <v>1233</v>
      </c>
      <c r="U382" s="525" t="s">
        <v>313</v>
      </c>
      <c r="W382" s="446" t="s">
        <v>1554</v>
      </c>
      <c r="X382" s="446" t="s">
        <v>3410</v>
      </c>
      <c r="AA382" s="28"/>
      <c r="AB382" s="28"/>
      <c r="AC382" s="997"/>
      <c r="AD382" s="536"/>
    </row>
    <row r="383" spans="6:30" ht="10.5" customHeight="1">
      <c r="F383" s="347"/>
      <c r="G383" s="324"/>
      <c r="H383" s="324"/>
      <c r="I383" s="324"/>
      <c r="J383" s="324"/>
      <c r="K383" s="324"/>
      <c r="L383" s="324"/>
      <c r="M383" s="324"/>
      <c r="N383" s="324"/>
      <c r="O383" s="324"/>
      <c r="P383" s="586" t="s">
        <v>55</v>
      </c>
      <c r="Q383" s="301"/>
      <c r="R383" s="177"/>
      <c r="S383" s="403"/>
      <c r="T383" s="525" t="s">
        <v>1235</v>
      </c>
      <c r="U383" s="525" t="s">
        <v>160</v>
      </c>
      <c r="W383" s="446" t="s">
        <v>1555</v>
      </c>
      <c r="X383" s="446" t="s">
        <v>3410</v>
      </c>
      <c r="AA383" s="28"/>
      <c r="AB383" s="28"/>
      <c r="AC383" s="997"/>
      <c r="AD383" s="536"/>
    </row>
    <row r="384" spans="6:30" ht="10.5" customHeight="1">
      <c r="F384" s="347"/>
      <c r="G384" s="324"/>
      <c r="H384" s="324"/>
      <c r="I384" s="324"/>
      <c r="J384" s="324"/>
      <c r="K384" s="324"/>
      <c r="L384" s="324"/>
      <c r="M384" s="324"/>
      <c r="N384" s="324"/>
      <c r="O384" s="324"/>
      <c r="P384" s="586" t="s">
        <v>970</v>
      </c>
      <c r="Q384" s="301"/>
      <c r="R384" s="177"/>
      <c r="S384" s="403"/>
      <c r="T384" s="525" t="s">
        <v>908</v>
      </c>
      <c r="U384" s="525" t="s">
        <v>2258</v>
      </c>
      <c r="W384" s="446" t="s">
        <v>1560</v>
      </c>
      <c r="X384" s="446" t="s">
        <v>3410</v>
      </c>
      <c r="AA384" s="28"/>
      <c r="AB384" s="28"/>
      <c r="AC384" s="997"/>
      <c r="AD384" s="536"/>
    </row>
    <row r="385" spans="6:30" ht="10.5" customHeight="1">
      <c r="F385" s="347"/>
      <c r="G385" s="324"/>
      <c r="H385" s="324"/>
      <c r="I385" s="324"/>
      <c r="J385" s="324"/>
      <c r="K385" s="324"/>
      <c r="L385" s="324"/>
      <c r="M385" s="324"/>
      <c r="N385" s="324"/>
      <c r="O385" s="324"/>
      <c r="P385" s="586" t="s">
        <v>1754</v>
      </c>
      <c r="Q385" s="301"/>
      <c r="R385" s="177"/>
      <c r="S385" s="403"/>
      <c r="T385" s="525" t="s">
        <v>2478</v>
      </c>
      <c r="U385" s="525" t="s">
        <v>1893</v>
      </c>
      <c r="W385" s="446" t="s">
        <v>2399</v>
      </c>
      <c r="X385" s="446" t="s">
        <v>3410</v>
      </c>
      <c r="AA385" s="28"/>
      <c r="AB385" s="28"/>
      <c r="AC385" s="997"/>
      <c r="AD385" s="536"/>
    </row>
    <row r="386" spans="6:30" ht="10.5" customHeight="1">
      <c r="F386" s="347"/>
      <c r="G386" s="324"/>
      <c r="H386" s="324"/>
      <c r="I386" s="324"/>
      <c r="J386" s="324"/>
      <c r="K386" s="324"/>
      <c r="L386" s="324"/>
      <c r="M386" s="324"/>
      <c r="N386" s="324"/>
      <c r="O386" s="324"/>
      <c r="P386" s="586" t="s">
        <v>1007</v>
      </c>
      <c r="Q386" s="301"/>
      <c r="R386" s="177"/>
      <c r="S386" s="403"/>
      <c r="T386" s="525" t="s">
        <v>911</v>
      </c>
      <c r="U386" s="525" t="s">
        <v>2195</v>
      </c>
      <c r="W386" s="446" t="s">
        <v>842</v>
      </c>
      <c r="X386" s="446" t="s">
        <v>3410</v>
      </c>
      <c r="AA386" s="28"/>
      <c r="AB386" s="28"/>
      <c r="AC386" s="997"/>
      <c r="AD386" s="536"/>
    </row>
    <row r="387" spans="6:30" ht="10.5" customHeight="1">
      <c r="F387" s="347"/>
      <c r="G387" s="324"/>
      <c r="H387" s="324"/>
      <c r="I387" s="324"/>
      <c r="J387" s="324"/>
      <c r="K387" s="324"/>
      <c r="L387" s="324"/>
      <c r="M387" s="324"/>
      <c r="N387" s="324"/>
      <c r="O387" s="324"/>
      <c r="P387" s="586" t="s">
        <v>1008</v>
      </c>
      <c r="Q387" s="301"/>
      <c r="R387" s="177"/>
      <c r="S387" s="403"/>
      <c r="T387" s="292" t="s">
        <v>913</v>
      </c>
      <c r="U387" s="292" t="s">
        <v>1113</v>
      </c>
      <c r="W387" s="446" t="s">
        <v>844</v>
      </c>
      <c r="X387" s="446" t="s">
        <v>3410</v>
      </c>
      <c r="AA387" s="28"/>
      <c r="AB387" s="28"/>
      <c r="AC387" s="997"/>
      <c r="AD387" s="536"/>
    </row>
    <row r="388" spans="6:30" ht="10.5" customHeight="1">
      <c r="F388" s="347"/>
      <c r="G388" s="324"/>
      <c r="H388" s="324"/>
      <c r="I388" s="324"/>
      <c r="J388" s="324"/>
      <c r="K388" s="324"/>
      <c r="L388" s="324"/>
      <c r="M388" s="324"/>
      <c r="N388" s="324"/>
      <c r="O388" s="324"/>
      <c r="P388" s="586" t="s">
        <v>1010</v>
      </c>
      <c r="Q388" s="301"/>
      <c r="R388" s="177"/>
      <c r="S388" s="403"/>
      <c r="T388" s="525" t="s">
        <v>915</v>
      </c>
      <c r="U388" s="525" t="s">
        <v>670</v>
      </c>
      <c r="AA388" s="28"/>
      <c r="AB388" s="28"/>
      <c r="AC388" s="536"/>
      <c r="AD388" s="536"/>
    </row>
    <row r="389" spans="6:30" ht="10.5" customHeight="1">
      <c r="F389" s="347"/>
      <c r="G389" s="324"/>
      <c r="H389" s="324"/>
      <c r="I389" s="324"/>
      <c r="J389" s="324"/>
      <c r="K389" s="324"/>
      <c r="L389" s="324"/>
      <c r="M389" s="324"/>
      <c r="N389" s="324"/>
      <c r="O389" s="324"/>
      <c r="P389" s="586" t="s">
        <v>989</v>
      </c>
      <c r="Q389" s="301"/>
      <c r="R389" s="177"/>
      <c r="S389" s="403"/>
      <c r="T389" s="525" t="s">
        <v>917</v>
      </c>
      <c r="U389" s="525" t="s">
        <v>313</v>
      </c>
      <c r="AA389" s="28"/>
      <c r="AB389" s="28"/>
      <c r="AC389" s="997"/>
      <c r="AD389" s="536"/>
    </row>
    <row r="390" spans="6:30" ht="10.5" customHeight="1">
      <c r="F390" s="347"/>
      <c r="G390" s="324"/>
      <c r="H390" s="324"/>
      <c r="I390" s="324"/>
      <c r="J390" s="324"/>
      <c r="K390" s="324"/>
      <c r="L390" s="324"/>
      <c r="M390" s="324"/>
      <c r="N390" s="324"/>
      <c r="O390" s="324"/>
      <c r="P390" s="586" t="s">
        <v>991</v>
      </c>
      <c r="Q390" s="301"/>
      <c r="R390" s="177"/>
      <c r="S390" s="403"/>
      <c r="T390" s="525" t="s">
        <v>919</v>
      </c>
      <c r="U390" s="525" t="s">
        <v>1341</v>
      </c>
      <c r="AA390" s="28"/>
      <c r="AB390" s="28"/>
      <c r="AC390" s="997"/>
      <c r="AD390" s="536"/>
    </row>
    <row r="391" spans="6:30" ht="10.5" customHeight="1">
      <c r="F391" s="347"/>
      <c r="G391" s="324"/>
      <c r="H391" s="324"/>
      <c r="I391" s="324"/>
      <c r="J391" s="324"/>
      <c r="K391" s="324"/>
      <c r="L391" s="324"/>
      <c r="M391" s="324"/>
      <c r="N391" s="324"/>
      <c r="O391" s="324"/>
      <c r="P391" s="586" t="s">
        <v>993</v>
      </c>
      <c r="Q391" s="301"/>
      <c r="R391" s="177"/>
      <c r="S391" s="403"/>
      <c r="T391" s="292" t="s">
        <v>686</v>
      </c>
      <c r="U391" s="292" t="s">
        <v>2199</v>
      </c>
      <c r="AA391" s="28"/>
      <c r="AB391" s="28"/>
      <c r="AC391" s="997"/>
      <c r="AD391" s="536"/>
    </row>
    <row r="392" spans="6:30" ht="10.5" customHeight="1">
      <c r="F392" s="347"/>
      <c r="G392" s="324"/>
      <c r="H392" s="324"/>
      <c r="I392" s="324"/>
      <c r="J392" s="324"/>
      <c r="K392" s="324"/>
      <c r="L392" s="324"/>
      <c r="M392" s="324"/>
      <c r="N392" s="324"/>
      <c r="O392" s="324"/>
      <c r="P392" s="586" t="s">
        <v>995</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86" t="s">
        <v>578</v>
      </c>
      <c r="Q393" s="301"/>
      <c r="R393" s="177"/>
      <c r="S393" s="403"/>
      <c r="T393" s="525" t="s">
        <v>971</v>
      </c>
      <c r="U393" s="525" t="s">
        <v>2024</v>
      </c>
      <c r="AA393" s="28"/>
      <c r="AB393" s="28"/>
      <c r="AC393" s="997"/>
      <c r="AD393" s="536"/>
    </row>
    <row r="394" spans="6:30" ht="10.5" customHeight="1">
      <c r="F394" s="347"/>
      <c r="G394" s="324"/>
      <c r="H394" s="324"/>
      <c r="I394" s="324"/>
      <c r="J394" s="324"/>
      <c r="K394" s="324"/>
      <c r="L394" s="324"/>
      <c r="M394" s="324"/>
      <c r="N394" s="324"/>
      <c r="O394" s="324"/>
      <c r="P394" s="586" t="s">
        <v>373</v>
      </c>
      <c r="Q394" s="301"/>
      <c r="R394" s="177"/>
      <c r="S394" s="403"/>
      <c r="T394" s="525" t="s">
        <v>673</v>
      </c>
      <c r="U394" s="525" t="s">
        <v>2415</v>
      </c>
      <c r="AA394" s="28"/>
      <c r="AB394" s="28"/>
      <c r="AC394" s="997"/>
      <c r="AD394" s="536"/>
    </row>
    <row r="395" spans="6:30" ht="10.5" customHeight="1">
      <c r="F395" s="347"/>
      <c r="G395" s="324"/>
      <c r="H395" s="324"/>
      <c r="I395" s="324"/>
      <c r="J395" s="324"/>
      <c r="K395" s="324"/>
      <c r="L395" s="324"/>
      <c r="M395" s="324"/>
      <c r="N395" s="324"/>
      <c r="O395" s="324"/>
      <c r="P395" s="586" t="s">
        <v>375</v>
      </c>
      <c r="Q395" s="301"/>
      <c r="R395" s="177"/>
      <c r="S395" s="403"/>
      <c r="T395" s="525" t="s">
        <v>1009</v>
      </c>
      <c r="U395" s="525" t="s">
        <v>1222</v>
      </c>
      <c r="AA395" s="28"/>
      <c r="AB395" s="28"/>
      <c r="AC395" s="997"/>
      <c r="AD395" s="536"/>
    </row>
    <row r="396" spans="6:30" ht="10.5" customHeight="1">
      <c r="F396" s="347"/>
      <c r="G396" s="324"/>
      <c r="H396" s="324"/>
      <c r="I396" s="324"/>
      <c r="J396" s="324"/>
      <c r="K396" s="324"/>
      <c r="L396" s="324"/>
      <c r="M396" s="324"/>
      <c r="N396" s="324"/>
      <c r="O396" s="324"/>
      <c r="P396" s="586" t="s">
        <v>377</v>
      </c>
      <c r="Q396" s="301"/>
      <c r="R396" s="177"/>
      <c r="S396" s="403"/>
      <c r="T396" s="525" t="s">
        <v>1011</v>
      </c>
      <c r="U396" s="525" t="s">
        <v>2548</v>
      </c>
      <c r="AA396" s="28"/>
      <c r="AB396" s="28"/>
      <c r="AC396" s="997"/>
      <c r="AD396" s="536"/>
    </row>
    <row r="397" spans="6:30" ht="10.5" customHeight="1">
      <c r="F397" s="347"/>
      <c r="G397" s="324"/>
      <c r="H397" s="324"/>
      <c r="I397" s="324"/>
      <c r="J397" s="324"/>
      <c r="K397" s="324"/>
      <c r="L397" s="324"/>
      <c r="M397" s="324"/>
      <c r="N397" s="324"/>
      <c r="O397" s="324"/>
      <c r="P397" s="586" t="s">
        <v>602</v>
      </c>
      <c r="Q397" s="301"/>
      <c r="R397" s="177"/>
      <c r="S397" s="403"/>
      <c r="T397" s="292" t="s">
        <v>990</v>
      </c>
      <c r="U397" s="292" t="s">
        <v>430</v>
      </c>
      <c r="AA397" s="28"/>
      <c r="AB397" s="28"/>
      <c r="AC397" s="997"/>
      <c r="AD397" s="536"/>
    </row>
    <row r="398" spans="6:30" ht="10.5" customHeight="1">
      <c r="F398" s="347"/>
      <c r="G398" s="324"/>
      <c r="H398" s="324"/>
      <c r="I398" s="324"/>
      <c r="J398" s="324"/>
      <c r="K398" s="324"/>
      <c r="L398" s="324"/>
      <c r="M398" s="324"/>
      <c r="N398" s="324"/>
      <c r="O398" s="324"/>
      <c r="P398" s="586" t="s">
        <v>1428</v>
      </c>
      <c r="Q398" s="301"/>
      <c r="R398" s="177"/>
      <c r="S398" s="403"/>
      <c r="T398" s="525" t="s">
        <v>992</v>
      </c>
      <c r="U398" s="525" t="s">
        <v>122</v>
      </c>
      <c r="AA398" s="28"/>
      <c r="AB398" s="28"/>
      <c r="AC398" s="536"/>
      <c r="AD398" s="536"/>
    </row>
    <row r="399" spans="6:30" ht="10.5" customHeight="1">
      <c r="F399" s="347"/>
      <c r="G399" s="324"/>
      <c r="H399" s="324"/>
      <c r="I399" s="324"/>
      <c r="J399" s="324"/>
      <c r="K399" s="324"/>
      <c r="L399" s="324"/>
      <c r="M399" s="324"/>
      <c r="N399" s="324"/>
      <c r="O399" s="324"/>
      <c r="P399" s="586" t="s">
        <v>1606</v>
      </c>
      <c r="Q399" s="301"/>
      <c r="R399" s="177"/>
      <c r="S399" s="403"/>
      <c r="T399" s="525" t="s">
        <v>994</v>
      </c>
      <c r="U399" s="525" t="s">
        <v>677</v>
      </c>
      <c r="AA399" s="28"/>
      <c r="AB399" s="28"/>
      <c r="AC399" s="997"/>
      <c r="AD399" s="536"/>
    </row>
    <row r="400" spans="6:30" ht="10.5" customHeight="1">
      <c r="F400" s="347"/>
      <c r="G400" s="324"/>
      <c r="H400" s="324"/>
      <c r="I400" s="324"/>
      <c r="J400" s="324"/>
      <c r="K400" s="324"/>
      <c r="L400" s="324"/>
      <c r="M400" s="324"/>
      <c r="N400" s="324"/>
      <c r="O400" s="324"/>
      <c r="P400" s="586" t="s">
        <v>1017</v>
      </c>
      <c r="Q400" s="301"/>
      <c r="R400" s="177"/>
      <c r="S400" s="403"/>
      <c r="T400" s="525" t="s">
        <v>996</v>
      </c>
      <c r="U400" s="525" t="s">
        <v>1893</v>
      </c>
      <c r="AA400" s="28"/>
      <c r="AB400" s="28"/>
      <c r="AC400" s="997"/>
      <c r="AD400" s="536"/>
    </row>
    <row r="401" spans="6:30" ht="10.5" customHeight="1">
      <c r="F401" s="347"/>
      <c r="G401" s="324"/>
      <c r="H401" s="324"/>
      <c r="I401" s="324"/>
      <c r="J401" s="324"/>
      <c r="K401" s="324"/>
      <c r="L401" s="324"/>
      <c r="M401" s="324"/>
      <c r="N401" s="324"/>
      <c r="O401" s="324"/>
      <c r="P401" s="586" t="s">
        <v>1019</v>
      </c>
      <c r="Q401" s="301"/>
      <c r="R401" s="177"/>
      <c r="S401" s="403"/>
      <c r="T401" s="525" t="s">
        <v>1056</v>
      </c>
      <c r="U401" s="525" t="s">
        <v>634</v>
      </c>
      <c r="AA401" s="28"/>
      <c r="AB401" s="28"/>
      <c r="AC401" s="997"/>
      <c r="AD401" s="536"/>
    </row>
    <row r="402" spans="6:30" ht="10.5" customHeight="1">
      <c r="F402" s="347"/>
      <c r="G402" s="324"/>
      <c r="H402" s="324"/>
      <c r="I402" s="324"/>
      <c r="J402" s="324"/>
      <c r="K402" s="324"/>
      <c r="L402" s="324"/>
      <c r="M402" s="324"/>
      <c r="N402" s="324"/>
      <c r="O402" s="324"/>
      <c r="P402" s="586" t="s">
        <v>1021</v>
      </c>
      <c r="Q402" s="301"/>
      <c r="R402" s="177"/>
      <c r="S402" s="403"/>
      <c r="T402" s="525" t="s">
        <v>579</v>
      </c>
      <c r="U402" s="525" t="s">
        <v>2188</v>
      </c>
      <c r="AA402" s="28"/>
      <c r="AB402" s="28"/>
      <c r="AC402" s="997"/>
      <c r="AD402" s="536"/>
    </row>
    <row r="403" spans="6:30" ht="10.5" customHeight="1">
      <c r="F403" s="347"/>
      <c r="G403" s="324"/>
      <c r="H403" s="324"/>
      <c r="I403" s="324"/>
      <c r="J403" s="324"/>
      <c r="K403" s="324"/>
      <c r="L403" s="324"/>
      <c r="M403" s="324"/>
      <c r="N403" s="324"/>
      <c r="O403" s="324"/>
      <c r="P403" s="586" t="s">
        <v>1689</v>
      </c>
      <c r="Q403" s="301"/>
      <c r="R403" s="177"/>
      <c r="S403" s="403"/>
      <c r="T403" s="525" t="s">
        <v>374</v>
      </c>
      <c r="U403" s="525" t="s">
        <v>2545</v>
      </c>
      <c r="AA403" s="28"/>
      <c r="AB403" s="28"/>
      <c r="AC403" s="997"/>
      <c r="AD403" s="536"/>
    </row>
    <row r="404" spans="6:30" ht="10.5" customHeight="1">
      <c r="F404" s="347"/>
      <c r="G404" s="324"/>
      <c r="H404" s="324"/>
      <c r="I404" s="324"/>
      <c r="J404" s="324"/>
      <c r="K404" s="324"/>
      <c r="L404" s="324"/>
      <c r="M404" s="324"/>
      <c r="N404" s="324"/>
      <c r="O404" s="324"/>
      <c r="P404" s="586" t="s">
        <v>1690</v>
      </c>
      <c r="Q404" s="301"/>
      <c r="R404" s="177"/>
      <c r="S404" s="403"/>
      <c r="T404" s="525" t="s">
        <v>376</v>
      </c>
      <c r="U404" s="525" t="s">
        <v>1468</v>
      </c>
      <c r="AA404" s="28"/>
      <c r="AB404" s="28"/>
      <c r="AC404" s="997"/>
      <c r="AD404" s="536"/>
    </row>
    <row r="405" spans="6:30" ht="10.5" customHeight="1">
      <c r="F405" s="347"/>
      <c r="G405" s="324"/>
      <c r="H405" s="324"/>
      <c r="I405" s="324"/>
      <c r="J405" s="324"/>
      <c r="K405" s="324"/>
      <c r="L405" s="324"/>
      <c r="M405" s="324"/>
      <c r="N405" s="324"/>
      <c r="O405" s="324"/>
      <c r="P405" s="586" t="s">
        <v>1691</v>
      </c>
      <c r="Q405" s="301"/>
      <c r="R405" s="177"/>
      <c r="S405" s="403"/>
      <c r="T405" s="525" t="s">
        <v>1057</v>
      </c>
      <c r="U405" s="525" t="s">
        <v>1926</v>
      </c>
      <c r="AA405" s="28"/>
      <c r="AB405" s="28"/>
      <c r="AC405" s="997"/>
      <c r="AD405" s="536"/>
    </row>
    <row r="406" spans="6:30" ht="10.5" customHeight="1">
      <c r="F406" s="347"/>
      <c r="G406" s="324"/>
      <c r="H406" s="324"/>
      <c r="I406" s="324"/>
      <c r="J406" s="324"/>
      <c r="K406" s="324"/>
      <c r="L406" s="324"/>
      <c r="M406" s="324"/>
      <c r="N406" s="324"/>
      <c r="O406" s="324"/>
      <c r="P406" s="586" t="s">
        <v>871</v>
      </c>
      <c r="Q406" s="301"/>
      <c r="R406" s="177"/>
      <c r="S406" s="403"/>
      <c r="T406" s="525" t="s">
        <v>378</v>
      </c>
      <c r="U406" s="525" t="s">
        <v>886</v>
      </c>
      <c r="AA406" s="28"/>
      <c r="AB406" s="28"/>
      <c r="AC406" s="997"/>
      <c r="AD406" s="536"/>
    </row>
    <row r="407" spans="6:30" ht="10.5" customHeight="1">
      <c r="F407" s="347"/>
      <c r="G407" s="324"/>
      <c r="H407" s="324"/>
      <c r="I407" s="324"/>
      <c r="J407" s="324"/>
      <c r="K407" s="324"/>
      <c r="L407" s="324"/>
      <c r="M407" s="324"/>
      <c r="N407" s="324"/>
      <c r="O407" s="324"/>
      <c r="P407" s="586" t="s">
        <v>873</v>
      </c>
      <c r="Q407" s="301"/>
      <c r="R407" s="177"/>
      <c r="S407" s="403"/>
      <c r="T407" s="525" t="s">
        <v>1429</v>
      </c>
      <c r="U407" s="525" t="s">
        <v>2260</v>
      </c>
      <c r="AA407" s="28"/>
      <c r="AB407" s="28"/>
      <c r="AC407" s="997"/>
      <c r="AD407" s="536"/>
    </row>
    <row r="408" spans="6:30" ht="10.5" customHeight="1">
      <c r="F408" s="347"/>
      <c r="G408" s="324"/>
      <c r="H408" s="324"/>
      <c r="I408" s="324"/>
      <c r="J408" s="324"/>
      <c r="K408" s="324"/>
      <c r="L408" s="324"/>
      <c r="M408" s="324"/>
      <c r="N408" s="324"/>
      <c r="O408" s="324"/>
      <c r="P408" s="586" t="s">
        <v>875</v>
      </c>
      <c r="Q408" s="301"/>
      <c r="R408" s="177"/>
      <c r="S408" s="403"/>
      <c r="T408" s="525" t="s">
        <v>1607</v>
      </c>
      <c r="U408" s="525" t="s">
        <v>176</v>
      </c>
      <c r="AA408" s="28"/>
      <c r="AB408" s="28"/>
      <c r="AC408" s="997"/>
      <c r="AD408" s="536"/>
    </row>
    <row r="409" spans="6:30" ht="10.5" customHeight="1">
      <c r="F409" s="347"/>
      <c r="G409" s="324"/>
      <c r="H409" s="324"/>
      <c r="I409" s="324"/>
      <c r="J409" s="324"/>
      <c r="K409" s="324"/>
      <c r="L409" s="324"/>
      <c r="M409" s="324"/>
      <c r="N409" s="324"/>
      <c r="O409" s="324"/>
      <c r="P409" s="586" t="s">
        <v>433</v>
      </c>
      <c r="Q409" s="301"/>
      <c r="R409" s="177"/>
      <c r="S409" s="403"/>
      <c r="T409" s="525" t="s">
        <v>1018</v>
      </c>
      <c r="U409" s="525" t="s">
        <v>317</v>
      </c>
      <c r="AA409" s="28"/>
      <c r="AB409" s="28"/>
      <c r="AC409" s="997"/>
      <c r="AD409" s="536"/>
    </row>
    <row r="410" spans="6:30" ht="10.5" customHeight="1">
      <c r="F410" s="347"/>
      <c r="G410" s="324"/>
      <c r="H410" s="324"/>
      <c r="I410" s="324"/>
      <c r="J410" s="324"/>
      <c r="K410" s="324"/>
      <c r="L410" s="324"/>
      <c r="M410" s="324"/>
      <c r="N410" s="324"/>
      <c r="O410" s="324"/>
      <c r="P410" s="586" t="s">
        <v>1735</v>
      </c>
      <c r="Q410" s="301"/>
      <c r="R410" s="177"/>
      <c r="S410" s="403"/>
      <c r="T410" s="292" t="s">
        <v>1020</v>
      </c>
      <c r="U410" s="292" t="s">
        <v>321</v>
      </c>
      <c r="AA410" s="28"/>
      <c r="AB410" s="28"/>
      <c r="AC410" s="997"/>
      <c r="AD410" s="536"/>
    </row>
    <row r="411" spans="6:30" ht="10.5" customHeight="1">
      <c r="F411" s="347"/>
      <c r="G411" s="324"/>
      <c r="H411" s="324"/>
      <c r="I411" s="324"/>
      <c r="J411" s="324"/>
      <c r="K411" s="324"/>
      <c r="L411" s="324"/>
      <c r="M411" s="324"/>
      <c r="N411" s="324"/>
      <c r="O411" s="324"/>
      <c r="P411" s="586" t="s">
        <v>2303</v>
      </c>
      <c r="Q411" s="301"/>
      <c r="R411" s="177"/>
      <c r="S411" s="403"/>
      <c r="T411" s="525" t="s">
        <v>1058</v>
      </c>
      <c r="U411" s="525" t="s">
        <v>2021</v>
      </c>
      <c r="AA411" s="28"/>
      <c r="AB411" s="28"/>
      <c r="AC411" s="536"/>
      <c r="AD411" s="536"/>
    </row>
    <row r="412" spans="6:30" ht="10.5" customHeight="1">
      <c r="F412" s="347"/>
      <c r="G412" s="324"/>
      <c r="H412" s="324"/>
      <c r="I412" s="324"/>
      <c r="J412" s="324"/>
      <c r="K412" s="324"/>
      <c r="L412" s="324"/>
      <c r="M412" s="324"/>
      <c r="N412" s="324"/>
      <c r="O412" s="324"/>
      <c r="P412" s="586" t="s">
        <v>2019</v>
      </c>
      <c r="Q412" s="301"/>
      <c r="R412" s="177"/>
      <c r="S412" s="403"/>
      <c r="T412" s="525" t="s">
        <v>1022</v>
      </c>
      <c r="U412" s="525" t="s">
        <v>1218</v>
      </c>
      <c r="AA412" s="28"/>
      <c r="AB412" s="28"/>
      <c r="AC412" s="997"/>
      <c r="AD412" s="536"/>
    </row>
    <row r="413" spans="6:30" ht="10.5" customHeight="1">
      <c r="F413" s="347"/>
      <c r="G413" s="324"/>
      <c r="H413" s="324"/>
      <c r="I413" s="324"/>
      <c r="J413" s="324"/>
      <c r="K413" s="324"/>
      <c r="L413" s="324"/>
      <c r="M413" s="324"/>
      <c r="N413" s="324"/>
      <c r="O413" s="324"/>
      <c r="P413" s="586" t="s">
        <v>1042</v>
      </c>
      <c r="Q413" s="301"/>
      <c r="R413" s="177"/>
      <c r="S413" s="403"/>
      <c r="T413" s="525" t="s">
        <v>316</v>
      </c>
      <c r="U413" s="525" t="s">
        <v>2548</v>
      </c>
      <c r="AA413" s="28"/>
      <c r="AB413" s="28"/>
      <c r="AC413" s="997"/>
      <c r="AD413" s="536"/>
    </row>
    <row r="414" spans="6:30" ht="10.5" customHeight="1">
      <c r="F414" s="347"/>
      <c r="G414" s="324"/>
      <c r="H414" s="324"/>
      <c r="I414" s="324"/>
      <c r="J414" s="324"/>
      <c r="K414" s="324"/>
      <c r="L414" s="324"/>
      <c r="M414" s="324"/>
      <c r="N414" s="324"/>
      <c r="O414" s="324"/>
      <c r="P414" s="586" t="s">
        <v>413</v>
      </c>
      <c r="Q414" s="301"/>
      <c r="R414" s="177"/>
      <c r="S414" s="403"/>
      <c r="T414" s="525" t="s">
        <v>2878</v>
      </c>
      <c r="U414" s="525" t="s">
        <v>1796</v>
      </c>
      <c r="AA414" s="28"/>
      <c r="AB414" s="28"/>
      <c r="AC414" s="997"/>
      <c r="AD414" s="536"/>
    </row>
    <row r="415" spans="6:30" ht="10.5" customHeight="1">
      <c r="F415" s="347"/>
      <c r="G415" s="324"/>
      <c r="H415" s="324"/>
      <c r="I415" s="324"/>
      <c r="J415" s="324"/>
      <c r="K415" s="324"/>
      <c r="L415" s="324"/>
      <c r="M415" s="324"/>
      <c r="N415" s="324"/>
      <c r="O415" s="324"/>
      <c r="P415" s="586" t="s">
        <v>415</v>
      </c>
      <c r="Q415" s="301"/>
      <c r="R415" s="177"/>
      <c r="S415" s="403"/>
      <c r="T415" s="525" t="s">
        <v>1692</v>
      </c>
      <c r="U415" s="525" t="s">
        <v>2545</v>
      </c>
      <c r="AA415" s="28"/>
      <c r="AB415" s="28"/>
      <c r="AC415" s="997"/>
      <c r="AD415" s="536"/>
    </row>
    <row r="416" spans="6:30" ht="10.5" customHeight="1">
      <c r="F416" s="347"/>
      <c r="G416" s="324"/>
      <c r="H416" s="324"/>
      <c r="I416" s="324"/>
      <c r="J416" s="324"/>
      <c r="K416" s="324"/>
      <c r="L416" s="324"/>
      <c r="M416" s="324"/>
      <c r="N416" s="324"/>
      <c r="O416" s="324"/>
      <c r="P416" s="586" t="s">
        <v>416</v>
      </c>
      <c r="Q416" s="301"/>
      <c r="R416" s="177"/>
      <c r="S416" s="403"/>
      <c r="T416" s="525" t="s">
        <v>872</v>
      </c>
      <c r="U416" s="525" t="s">
        <v>107</v>
      </c>
      <c r="AA416" s="28"/>
      <c r="AB416" s="28"/>
      <c r="AC416" s="997"/>
      <c r="AD416" s="536"/>
    </row>
    <row r="417" spans="6:30" ht="10.5" customHeight="1">
      <c r="F417" s="347"/>
      <c r="G417" s="324"/>
      <c r="H417" s="324"/>
      <c r="I417" s="324"/>
      <c r="J417" s="324"/>
      <c r="K417" s="324"/>
      <c r="L417" s="324"/>
      <c r="M417" s="324"/>
      <c r="N417" s="324"/>
      <c r="O417" s="324"/>
      <c r="P417" s="586" t="s">
        <v>1958</v>
      </c>
      <c r="Q417" s="301"/>
      <c r="R417" s="177"/>
      <c r="S417" s="403"/>
      <c r="T417" s="525" t="s">
        <v>874</v>
      </c>
      <c r="U417" s="525" t="s">
        <v>318</v>
      </c>
      <c r="AA417" s="28"/>
      <c r="AB417" s="28"/>
      <c r="AC417" s="997"/>
      <c r="AD417" s="536"/>
    </row>
    <row r="418" spans="6:30" ht="10.5" customHeight="1">
      <c r="F418" s="347"/>
      <c r="G418" s="324"/>
      <c r="H418" s="324"/>
      <c r="I418" s="324"/>
      <c r="J418" s="324"/>
      <c r="K418" s="324"/>
      <c r="L418" s="324"/>
      <c r="M418" s="324"/>
      <c r="N418" s="324"/>
      <c r="O418" s="324"/>
      <c r="P418" s="586" t="s">
        <v>496</v>
      </c>
      <c r="Q418" s="301"/>
      <c r="R418" s="177"/>
      <c r="S418" s="403"/>
      <c r="T418" s="525" t="s">
        <v>1753</v>
      </c>
      <c r="U418" s="525" t="s">
        <v>1109</v>
      </c>
      <c r="AA418" s="28"/>
      <c r="AB418" s="28"/>
      <c r="AC418" s="997"/>
      <c r="AD418" s="536"/>
    </row>
    <row r="419" spans="6:30" ht="10.5" customHeight="1">
      <c r="F419" s="347"/>
      <c r="G419" s="324"/>
      <c r="H419" s="324"/>
      <c r="I419" s="324"/>
      <c r="J419" s="324"/>
      <c r="K419" s="324"/>
      <c r="L419" s="324"/>
      <c r="M419" s="324"/>
      <c r="N419" s="324"/>
      <c r="O419" s="324"/>
      <c r="P419" s="586" t="s">
        <v>2177</v>
      </c>
      <c r="Q419" s="301"/>
      <c r="R419" s="177"/>
      <c r="S419" s="403"/>
      <c r="T419" s="525" t="s">
        <v>637</v>
      </c>
      <c r="U419" s="525" t="s">
        <v>328</v>
      </c>
      <c r="AA419" s="28"/>
      <c r="AB419" s="28"/>
      <c r="AC419" s="997"/>
      <c r="AD419" s="536"/>
    </row>
    <row r="420" spans="6:30" ht="10.5" customHeight="1">
      <c r="F420" s="347"/>
      <c r="G420" s="324"/>
      <c r="H420" s="324"/>
      <c r="I420" s="324"/>
      <c r="J420" s="324"/>
      <c r="K420" s="324"/>
      <c r="L420" s="324"/>
      <c r="M420" s="324"/>
      <c r="N420" s="324"/>
      <c r="O420" s="324"/>
      <c r="P420" s="586" t="s">
        <v>1658</v>
      </c>
      <c r="Q420" s="301"/>
      <c r="R420" s="177"/>
      <c r="S420" s="403"/>
      <c r="T420" s="525" t="s">
        <v>1736</v>
      </c>
      <c r="U420" s="525" t="s">
        <v>115</v>
      </c>
      <c r="AA420" s="28"/>
      <c r="AB420" s="28"/>
      <c r="AC420" s="997"/>
      <c r="AD420" s="536"/>
    </row>
    <row r="421" spans="6:30" ht="10.5" customHeight="1">
      <c r="F421" s="347"/>
      <c r="G421" s="324"/>
      <c r="H421" s="324"/>
      <c r="I421" s="324"/>
      <c r="J421" s="324"/>
      <c r="K421" s="324"/>
      <c r="L421" s="324"/>
      <c r="M421" s="324"/>
      <c r="N421" s="324"/>
      <c r="O421" s="324"/>
      <c r="P421" s="586" t="s">
        <v>1660</v>
      </c>
      <c r="Q421" s="301"/>
      <c r="R421" s="177"/>
      <c r="S421" s="403"/>
      <c r="T421" s="525" t="s">
        <v>2304</v>
      </c>
      <c r="U421" s="525" t="s">
        <v>880</v>
      </c>
      <c r="AA421" s="28"/>
      <c r="AB421" s="28"/>
      <c r="AC421" s="997"/>
      <c r="AD421" s="536"/>
    </row>
    <row r="422" spans="6:30" ht="10.5" customHeight="1">
      <c r="F422" s="347"/>
      <c r="G422" s="324"/>
      <c r="H422" s="324"/>
      <c r="I422" s="324"/>
      <c r="J422" s="324"/>
      <c r="K422" s="324"/>
      <c r="L422" s="324"/>
      <c r="M422" s="324"/>
      <c r="N422" s="324"/>
      <c r="O422" s="324"/>
      <c r="P422" s="586" t="s">
        <v>308</v>
      </c>
      <c r="Q422" s="301"/>
      <c r="R422" s="177"/>
      <c r="S422" s="403"/>
      <c r="T422" s="525" t="s">
        <v>2879</v>
      </c>
      <c r="U422" s="525" t="s">
        <v>160</v>
      </c>
      <c r="AA422" s="28"/>
      <c r="AB422" s="28"/>
      <c r="AC422" s="997"/>
      <c r="AD422" s="536"/>
    </row>
    <row r="423" spans="6:30" ht="10.5" customHeight="1">
      <c r="F423" s="347"/>
      <c r="G423" s="324"/>
      <c r="H423" s="324"/>
      <c r="I423" s="324"/>
      <c r="J423" s="324"/>
      <c r="K423" s="324"/>
      <c r="L423" s="324"/>
      <c r="M423" s="324"/>
      <c r="N423" s="324"/>
      <c r="O423" s="324"/>
      <c r="P423" s="586" t="s">
        <v>310</v>
      </c>
      <c r="Q423" s="301"/>
      <c r="R423" s="177"/>
      <c r="S423" s="403"/>
      <c r="T423" s="525" t="s">
        <v>2020</v>
      </c>
      <c r="U423" s="525" t="s">
        <v>1119</v>
      </c>
      <c r="AA423" s="28"/>
      <c r="AB423" s="28"/>
      <c r="AC423" s="997"/>
      <c r="AD423" s="536"/>
    </row>
    <row r="424" spans="6:30" ht="10.5" customHeight="1">
      <c r="F424" s="347"/>
      <c r="G424" s="324"/>
      <c r="H424" s="324"/>
      <c r="I424" s="324"/>
      <c r="J424" s="324"/>
      <c r="K424" s="324"/>
      <c r="L424" s="324"/>
      <c r="M424" s="324"/>
      <c r="N424" s="324"/>
      <c r="O424" s="324"/>
      <c r="P424" s="586" t="s">
        <v>951</v>
      </c>
      <c r="Q424" s="301"/>
      <c r="R424" s="177"/>
      <c r="S424" s="403"/>
      <c r="T424" s="292" t="s">
        <v>2880</v>
      </c>
      <c r="U424" s="292" t="s">
        <v>321</v>
      </c>
      <c r="AA424" s="28"/>
      <c r="AB424" s="28"/>
      <c r="AC424" s="997"/>
      <c r="AD424" s="536"/>
    </row>
    <row r="425" spans="6:30" ht="10.5" customHeight="1">
      <c r="F425" s="347"/>
      <c r="G425" s="324"/>
      <c r="H425" s="324"/>
      <c r="I425" s="324"/>
      <c r="J425" s="324"/>
      <c r="K425" s="324"/>
      <c r="L425" s="324"/>
      <c r="M425" s="324"/>
      <c r="N425" s="324"/>
      <c r="O425" s="324"/>
      <c r="P425" s="586" t="s">
        <v>2337</v>
      </c>
      <c r="Q425" s="301"/>
      <c r="R425" s="177"/>
      <c r="S425" s="403"/>
      <c r="T425" s="525" t="s">
        <v>1043</v>
      </c>
      <c r="U425" s="525" t="s">
        <v>1926</v>
      </c>
      <c r="AA425" s="28"/>
      <c r="AB425" s="28"/>
      <c r="AC425" s="536"/>
      <c r="AD425" s="536"/>
    </row>
    <row r="426" spans="6:30" ht="10.5" customHeight="1">
      <c r="F426" s="347"/>
      <c r="G426" s="324"/>
      <c r="H426" s="324"/>
      <c r="I426" s="324"/>
      <c r="J426" s="324"/>
      <c r="K426" s="324"/>
      <c r="L426" s="324"/>
      <c r="M426" s="324"/>
      <c r="N426" s="324"/>
      <c r="O426" s="324"/>
      <c r="P426" s="586" t="s">
        <v>2338</v>
      </c>
      <c r="Q426" s="301"/>
      <c r="R426" s="177"/>
      <c r="S426" s="403"/>
      <c r="T426" s="292" t="s">
        <v>414</v>
      </c>
      <c r="U426" s="292" t="s">
        <v>185</v>
      </c>
      <c r="AA426" s="28"/>
      <c r="AB426" s="28"/>
      <c r="AC426" s="997"/>
      <c r="AD426" s="536"/>
    </row>
    <row r="427" spans="6:30" ht="10.5" customHeight="1">
      <c r="F427" s="347"/>
      <c r="G427" s="324"/>
      <c r="H427" s="324"/>
      <c r="I427" s="324"/>
      <c r="J427" s="324"/>
      <c r="K427" s="324"/>
      <c r="L427" s="324"/>
      <c r="M427" s="324"/>
      <c r="N427" s="324"/>
      <c r="O427" s="324"/>
      <c r="P427" s="586" t="s">
        <v>2319</v>
      </c>
      <c r="Q427" s="301"/>
      <c r="R427" s="177"/>
      <c r="S427" s="403"/>
      <c r="T427" s="525" t="s">
        <v>1059</v>
      </c>
      <c r="U427" s="525" t="s">
        <v>1106</v>
      </c>
      <c r="AA427" s="28"/>
      <c r="AB427" s="28"/>
      <c r="AC427" s="536"/>
      <c r="AD427" s="536"/>
    </row>
    <row r="428" spans="6:30" ht="10.5" customHeight="1">
      <c r="F428" s="347"/>
      <c r="G428" s="324"/>
      <c r="H428" s="324"/>
      <c r="I428" s="324"/>
      <c r="J428" s="324"/>
      <c r="K428" s="324"/>
      <c r="L428" s="324"/>
      <c r="M428" s="324"/>
      <c r="N428" s="324"/>
      <c r="O428" s="324"/>
      <c r="P428" s="586" t="s">
        <v>2320</v>
      </c>
      <c r="Q428" s="301"/>
      <c r="R428" s="177"/>
      <c r="S428" s="403"/>
      <c r="T428" s="292" t="s">
        <v>417</v>
      </c>
      <c r="U428" s="292" t="s">
        <v>2184</v>
      </c>
      <c r="AA428" s="28"/>
      <c r="AB428" s="28"/>
      <c r="AC428" s="997"/>
      <c r="AD428" s="536"/>
    </row>
    <row r="429" spans="6:30" ht="10.5" customHeight="1">
      <c r="F429" s="347"/>
      <c r="G429" s="324"/>
      <c r="H429" s="324"/>
      <c r="I429" s="324"/>
      <c r="J429" s="324"/>
      <c r="K429" s="324"/>
      <c r="L429" s="324"/>
      <c r="M429" s="324"/>
      <c r="N429" s="324"/>
      <c r="O429" s="324"/>
      <c r="P429" s="586" t="s">
        <v>2322</v>
      </c>
      <c r="Q429" s="301"/>
      <c r="R429" s="177"/>
      <c r="S429" s="403"/>
      <c r="T429" s="525" t="s">
        <v>1959</v>
      </c>
      <c r="U429" s="525" t="s">
        <v>1468</v>
      </c>
      <c r="AA429" s="28"/>
      <c r="AB429" s="28"/>
      <c r="AC429" s="536"/>
      <c r="AD429" s="536"/>
    </row>
    <row r="430" spans="6:30" ht="10.5" customHeight="1">
      <c r="F430" s="347"/>
      <c r="G430" s="324"/>
      <c r="H430" s="324"/>
      <c r="I430" s="324"/>
      <c r="J430" s="324"/>
      <c r="K430" s="324"/>
      <c r="L430" s="324"/>
      <c r="M430" s="324"/>
      <c r="N430" s="324"/>
      <c r="O430" s="324"/>
      <c r="P430" s="586" t="s">
        <v>514</v>
      </c>
      <c r="Q430" s="301"/>
      <c r="R430" s="177"/>
      <c r="S430" s="403"/>
      <c r="T430" s="525" t="s">
        <v>497</v>
      </c>
      <c r="U430" s="525" t="s">
        <v>2609</v>
      </c>
      <c r="AA430" s="28"/>
      <c r="AB430" s="28"/>
      <c r="AC430" s="997"/>
      <c r="AD430" s="536"/>
    </row>
    <row r="431" spans="6:30" ht="10.5" customHeight="1">
      <c r="F431" s="347"/>
      <c r="G431" s="324"/>
      <c r="H431" s="324"/>
      <c r="I431" s="324"/>
      <c r="J431" s="324"/>
      <c r="K431" s="324"/>
      <c r="L431" s="324"/>
      <c r="M431" s="324"/>
      <c r="N431" s="324"/>
      <c r="O431" s="324"/>
      <c r="P431" s="586" t="s">
        <v>187</v>
      </c>
      <c r="Q431" s="301"/>
      <c r="R431" s="177"/>
      <c r="S431" s="403"/>
      <c r="T431" s="525" t="s">
        <v>2178</v>
      </c>
      <c r="U431" s="525" t="s">
        <v>1335</v>
      </c>
      <c r="AA431" s="28"/>
      <c r="AB431" s="28"/>
      <c r="AC431" s="997"/>
      <c r="AD431" s="536"/>
    </row>
    <row r="432" spans="6:30" ht="10.5" customHeight="1">
      <c r="F432" s="347"/>
      <c r="G432" s="324"/>
      <c r="H432" s="324"/>
      <c r="I432" s="324"/>
      <c r="J432" s="324"/>
      <c r="K432" s="324"/>
      <c r="L432" s="324"/>
      <c r="M432" s="324"/>
      <c r="N432" s="324"/>
      <c r="O432" s="324"/>
      <c r="P432" s="586" t="s">
        <v>2130</v>
      </c>
      <c r="Q432" s="301"/>
      <c r="R432" s="177"/>
      <c r="S432" s="403"/>
      <c r="T432" s="525" t="s">
        <v>1659</v>
      </c>
      <c r="U432" s="525" t="s">
        <v>1930</v>
      </c>
      <c r="AA432" s="28"/>
      <c r="AB432" s="28"/>
      <c r="AC432" s="997"/>
      <c r="AD432" s="536"/>
    </row>
    <row r="433" spans="6:30" ht="10.5" customHeight="1">
      <c r="F433" s="347"/>
      <c r="G433" s="324"/>
      <c r="H433" s="324"/>
      <c r="I433" s="324"/>
      <c r="J433" s="324"/>
      <c r="K433" s="324"/>
      <c r="L433" s="324"/>
      <c r="M433" s="324"/>
      <c r="N433" s="324"/>
      <c r="O433" s="324"/>
      <c r="P433" s="586" t="s">
        <v>1991</v>
      </c>
      <c r="Q433" s="301"/>
      <c r="R433" s="177"/>
      <c r="S433" s="403"/>
      <c r="T433" s="525" t="s">
        <v>1661</v>
      </c>
      <c r="U433" s="525" t="s">
        <v>165</v>
      </c>
      <c r="AA433" s="28"/>
      <c r="AB433" s="28"/>
      <c r="AC433" s="997"/>
      <c r="AD433" s="536"/>
    </row>
    <row r="434" spans="6:30" ht="10.5" customHeight="1">
      <c r="F434" s="347"/>
      <c r="G434" s="324"/>
      <c r="H434" s="324"/>
      <c r="I434" s="324"/>
      <c r="J434" s="324"/>
      <c r="K434" s="324"/>
      <c r="L434" s="324"/>
      <c r="M434" s="324"/>
      <c r="N434" s="324"/>
      <c r="O434" s="324"/>
      <c r="P434" s="586" t="s">
        <v>1993</v>
      </c>
      <c r="Q434" s="301"/>
      <c r="R434" s="177"/>
      <c r="S434" s="403"/>
      <c r="T434" s="525" t="s">
        <v>309</v>
      </c>
      <c r="U434" s="525" t="s">
        <v>158</v>
      </c>
      <c r="AA434" s="28"/>
      <c r="AB434" s="28"/>
      <c r="AC434" s="997"/>
      <c r="AD434" s="536"/>
    </row>
    <row r="435" spans="6:30" ht="10.5" customHeight="1">
      <c r="F435" s="347"/>
      <c r="G435" s="324"/>
      <c r="H435" s="324"/>
      <c r="I435" s="324"/>
      <c r="J435" s="324"/>
      <c r="K435" s="324"/>
      <c r="L435" s="324"/>
      <c r="M435" s="324"/>
      <c r="N435" s="324"/>
      <c r="O435" s="324"/>
      <c r="P435" s="586" t="s">
        <v>1155</v>
      </c>
      <c r="Q435" s="301"/>
      <c r="R435" s="177"/>
      <c r="S435" s="403"/>
      <c r="T435" s="525" t="s">
        <v>311</v>
      </c>
      <c r="U435" s="525" t="s">
        <v>1322</v>
      </c>
      <c r="AA435" s="28"/>
      <c r="AB435" s="28"/>
      <c r="AC435" s="997"/>
      <c r="AD435" s="536"/>
    </row>
    <row r="436" spans="6:30" ht="10.5" customHeight="1">
      <c r="F436" s="347"/>
      <c r="G436" s="324"/>
      <c r="H436" s="324"/>
      <c r="I436" s="324"/>
      <c r="J436" s="324"/>
      <c r="K436" s="324"/>
      <c r="L436" s="324"/>
      <c r="M436" s="324"/>
      <c r="N436" s="324"/>
      <c r="O436" s="324"/>
      <c r="P436" s="586" t="s">
        <v>1157</v>
      </c>
      <c r="Q436" s="301"/>
      <c r="R436" s="177"/>
      <c r="S436" s="403"/>
      <c r="T436" s="525" t="s">
        <v>952</v>
      </c>
      <c r="U436" s="525" t="s">
        <v>2500</v>
      </c>
      <c r="AA436" s="28"/>
      <c r="AB436" s="28"/>
      <c r="AC436" s="997"/>
      <c r="AD436" s="536"/>
    </row>
    <row r="437" spans="6:30" ht="10.5" customHeight="1">
      <c r="F437" s="347"/>
      <c r="G437" s="324"/>
      <c r="H437" s="324"/>
      <c r="I437" s="324"/>
      <c r="J437" s="324"/>
      <c r="K437" s="324"/>
      <c r="L437" s="324"/>
      <c r="M437" s="324"/>
      <c r="N437" s="324"/>
      <c r="O437" s="324"/>
      <c r="P437" s="586" t="s">
        <v>1123</v>
      </c>
      <c r="Q437" s="301"/>
      <c r="R437" s="177"/>
      <c r="S437" s="403"/>
      <c r="T437" s="525" t="s">
        <v>2339</v>
      </c>
      <c r="U437" s="525" t="s">
        <v>325</v>
      </c>
      <c r="AA437" s="28"/>
      <c r="AB437" s="28"/>
      <c r="AC437" s="997"/>
      <c r="AD437" s="536"/>
    </row>
    <row r="438" spans="6:30" ht="10.5" customHeight="1">
      <c r="F438" s="347"/>
      <c r="G438" s="324"/>
      <c r="H438" s="324"/>
      <c r="I438" s="324"/>
      <c r="J438" s="324"/>
      <c r="K438" s="324"/>
      <c r="L438" s="324"/>
      <c r="M438" s="324"/>
      <c r="N438" s="324"/>
      <c r="O438" s="324"/>
      <c r="P438" s="586" t="s">
        <v>1124</v>
      </c>
      <c r="Q438" s="301"/>
      <c r="R438" s="177"/>
      <c r="S438" s="403"/>
      <c r="T438" s="525" t="s">
        <v>2881</v>
      </c>
      <c r="U438" s="525" t="s">
        <v>2201</v>
      </c>
      <c r="AA438" s="28"/>
      <c r="AB438" s="28"/>
      <c r="AC438" s="997"/>
      <c r="AD438" s="536"/>
    </row>
    <row r="439" spans="6:30" ht="10.5" customHeight="1">
      <c r="F439" s="347"/>
      <c r="G439" s="324"/>
      <c r="H439" s="324"/>
      <c r="I439" s="324"/>
      <c r="J439" s="324"/>
      <c r="K439" s="324"/>
      <c r="L439" s="324"/>
      <c r="M439" s="324"/>
      <c r="N439" s="324"/>
      <c r="O439" s="324"/>
      <c r="P439" s="586" t="s">
        <v>73</v>
      </c>
      <c r="Q439" s="301"/>
      <c r="R439" s="177"/>
      <c r="S439" s="403"/>
      <c r="T439" s="588" t="s">
        <v>2321</v>
      </c>
      <c r="U439" s="525" t="s">
        <v>180</v>
      </c>
      <c r="AA439" s="28"/>
      <c r="AB439" s="28"/>
      <c r="AC439" s="997"/>
      <c r="AD439" s="536"/>
    </row>
    <row r="440" spans="6:30" ht="10.5" customHeight="1">
      <c r="F440" s="347"/>
      <c r="G440" s="324"/>
      <c r="H440" s="324"/>
      <c r="I440" s="324"/>
      <c r="J440" s="324"/>
      <c r="K440" s="324"/>
      <c r="L440" s="324"/>
      <c r="M440" s="324"/>
      <c r="N440" s="324"/>
      <c r="O440" s="324"/>
      <c r="P440" s="586" t="s">
        <v>369</v>
      </c>
      <c r="Q440" s="301"/>
      <c r="R440" s="177"/>
      <c r="S440" s="403"/>
      <c r="T440" s="525" t="s">
        <v>2323</v>
      </c>
      <c r="U440" s="525" t="s">
        <v>1332</v>
      </c>
      <c r="AA440" s="28"/>
      <c r="AB440" s="28"/>
      <c r="AC440" s="998"/>
      <c r="AD440" s="536"/>
    </row>
    <row r="441" spans="6:30" ht="10.5" customHeight="1">
      <c r="F441" s="347"/>
      <c r="G441" s="324"/>
      <c r="H441" s="324"/>
      <c r="I441" s="324"/>
      <c r="J441" s="324"/>
      <c r="K441" s="324"/>
      <c r="L441" s="324"/>
      <c r="M441" s="324"/>
      <c r="N441" s="324"/>
      <c r="O441" s="324"/>
      <c r="P441" s="586" t="s">
        <v>2265</v>
      </c>
      <c r="Q441" s="301"/>
      <c r="R441" s="177"/>
      <c r="S441" s="403"/>
      <c r="T441" s="525" t="s">
        <v>515</v>
      </c>
      <c r="U441" s="525" t="s">
        <v>180</v>
      </c>
      <c r="AA441" s="28"/>
      <c r="AB441" s="28"/>
      <c r="AC441" s="997"/>
      <c r="AD441" s="536"/>
    </row>
    <row r="442" spans="6:30" ht="10.5" customHeight="1">
      <c r="F442" s="347"/>
      <c r="G442" s="324"/>
      <c r="H442" s="324"/>
      <c r="I442" s="324"/>
      <c r="J442" s="324"/>
      <c r="K442" s="324"/>
      <c r="L442" s="324"/>
      <c r="M442" s="324"/>
      <c r="N442" s="324"/>
      <c r="O442" s="324"/>
      <c r="P442" s="586" t="s">
        <v>1831</v>
      </c>
      <c r="Q442" s="301"/>
      <c r="R442" s="177"/>
      <c r="S442" s="403"/>
      <c r="T442" s="525" t="s">
        <v>1060</v>
      </c>
      <c r="U442" s="525" t="s">
        <v>1532</v>
      </c>
      <c r="AA442" s="28"/>
      <c r="AB442" s="28"/>
      <c r="AC442" s="997"/>
      <c r="AD442" s="536"/>
    </row>
    <row r="443" spans="6:30" ht="10.5" customHeight="1">
      <c r="F443" s="347"/>
      <c r="G443" s="324"/>
      <c r="H443" s="324"/>
      <c r="I443" s="324"/>
      <c r="J443" s="324"/>
      <c r="K443" s="324"/>
      <c r="L443" s="324"/>
      <c r="M443" s="324"/>
      <c r="N443" s="324"/>
      <c r="O443" s="324"/>
      <c r="P443" s="586" t="s">
        <v>1768</v>
      </c>
      <c r="Q443" s="301"/>
      <c r="R443" s="177"/>
      <c r="S443" s="403"/>
      <c r="T443" s="525" t="s">
        <v>188</v>
      </c>
      <c r="U443" s="525" t="s">
        <v>2186</v>
      </c>
      <c r="AA443" s="28"/>
      <c r="AB443" s="28"/>
      <c r="AC443" s="997"/>
      <c r="AD443" s="536"/>
    </row>
    <row r="444" spans="6:30" ht="10.5" customHeight="1">
      <c r="F444" s="347"/>
      <c r="G444" s="324"/>
      <c r="H444" s="324"/>
      <c r="I444" s="324"/>
      <c r="J444" s="324"/>
      <c r="K444" s="324"/>
      <c r="L444" s="324"/>
      <c r="M444" s="324"/>
      <c r="N444" s="324"/>
      <c r="O444" s="324"/>
      <c r="P444" s="586" t="s">
        <v>276</v>
      </c>
      <c r="Q444" s="301"/>
      <c r="R444" s="177"/>
      <c r="S444" s="403"/>
      <c r="T444" s="292" t="s">
        <v>1061</v>
      </c>
      <c r="U444" s="292" t="s">
        <v>2499</v>
      </c>
      <c r="AA444" s="28"/>
      <c r="AB444" s="28"/>
      <c r="AC444" s="997"/>
      <c r="AD444" s="536"/>
    </row>
    <row r="445" spans="6:30" ht="10.5" customHeight="1">
      <c r="F445" s="347"/>
      <c r="G445" s="324"/>
      <c r="H445" s="324"/>
      <c r="I445" s="324"/>
      <c r="J445" s="324"/>
      <c r="K445" s="324"/>
      <c r="L445" s="324"/>
      <c r="M445" s="324"/>
      <c r="N445" s="324"/>
      <c r="O445" s="324"/>
      <c r="P445" s="586" t="s">
        <v>2370</v>
      </c>
      <c r="Q445" s="301"/>
      <c r="R445" s="177"/>
      <c r="S445" s="403"/>
      <c r="T445" s="525" t="s">
        <v>1990</v>
      </c>
      <c r="U445" s="525" t="s">
        <v>2415</v>
      </c>
      <c r="AA445" s="28"/>
      <c r="AB445" s="28"/>
      <c r="AC445" s="536"/>
      <c r="AD445" s="536"/>
    </row>
    <row r="446" spans="6:30" ht="10.5" customHeight="1">
      <c r="F446" s="347"/>
      <c r="G446" s="324"/>
      <c r="H446" s="324"/>
      <c r="I446" s="324"/>
      <c r="J446" s="324"/>
      <c r="K446" s="324"/>
      <c r="L446" s="324"/>
      <c r="M446" s="324"/>
      <c r="N446" s="324"/>
      <c r="O446" s="324"/>
      <c r="P446" s="586" t="s">
        <v>473</v>
      </c>
      <c r="Q446" s="301"/>
      <c r="R446" s="177"/>
      <c r="S446" s="403"/>
      <c r="T446" s="525" t="s">
        <v>1062</v>
      </c>
      <c r="U446" s="525" t="s">
        <v>160</v>
      </c>
      <c r="AA446" s="28"/>
      <c r="AB446" s="28"/>
      <c r="AC446" s="997"/>
      <c r="AD446" s="536"/>
    </row>
    <row r="447" spans="6:30" ht="10.5" customHeight="1">
      <c r="F447" s="347"/>
      <c r="G447" s="324"/>
      <c r="H447" s="324"/>
      <c r="I447" s="324"/>
      <c r="J447" s="324"/>
      <c r="K447" s="324"/>
      <c r="L447" s="324"/>
      <c r="M447" s="324"/>
      <c r="N447" s="324"/>
      <c r="O447" s="324"/>
      <c r="P447" s="586" t="s">
        <v>474</v>
      </c>
      <c r="Q447" s="301"/>
      <c r="R447" s="177"/>
      <c r="S447" s="403"/>
      <c r="T447" s="525" t="s">
        <v>1992</v>
      </c>
      <c r="U447" s="525" t="s">
        <v>2415</v>
      </c>
      <c r="AA447" s="28"/>
      <c r="AB447" s="28"/>
      <c r="AC447" s="997"/>
      <c r="AD447" s="536"/>
    </row>
    <row r="448" spans="6:30" ht="10.5" customHeight="1">
      <c r="F448" s="347"/>
      <c r="G448" s="324"/>
      <c r="H448" s="324"/>
      <c r="I448" s="324"/>
      <c r="J448" s="324"/>
      <c r="K448" s="324"/>
      <c r="L448" s="324"/>
      <c r="M448" s="324"/>
      <c r="N448" s="324"/>
      <c r="O448" s="324"/>
      <c r="P448" s="586" t="s">
        <v>476</v>
      </c>
      <c r="Q448" s="301"/>
      <c r="R448" s="177"/>
      <c r="S448" s="403"/>
      <c r="T448" s="525" t="s">
        <v>325</v>
      </c>
      <c r="U448" s="525" t="s">
        <v>1343</v>
      </c>
      <c r="AA448" s="28"/>
      <c r="AB448" s="28"/>
      <c r="AC448" s="997"/>
      <c r="AD448" s="536"/>
    </row>
    <row r="449" spans="6:30" ht="10.5" customHeight="1">
      <c r="F449" s="347"/>
      <c r="G449" s="324"/>
      <c r="H449" s="324"/>
      <c r="I449" s="324"/>
      <c r="J449" s="324"/>
      <c r="K449" s="324"/>
      <c r="L449" s="324"/>
      <c r="M449" s="324"/>
      <c r="N449" s="324"/>
      <c r="O449" s="324"/>
      <c r="P449" s="586" t="s">
        <v>478</v>
      </c>
      <c r="Q449" s="301"/>
      <c r="R449" s="177"/>
      <c r="S449" s="403"/>
      <c r="T449" s="525" t="s">
        <v>1156</v>
      </c>
      <c r="U449" s="525" t="s">
        <v>880</v>
      </c>
      <c r="AA449" s="28"/>
      <c r="AB449" s="28"/>
      <c r="AC449" s="997"/>
      <c r="AD449" s="536"/>
    </row>
    <row r="450" spans="6:30" ht="10.5" customHeight="1">
      <c r="F450" s="347"/>
      <c r="G450" s="324"/>
      <c r="H450" s="324"/>
      <c r="I450" s="324"/>
      <c r="J450" s="324"/>
      <c r="K450" s="324"/>
      <c r="L450" s="324"/>
      <c r="M450" s="324"/>
      <c r="N450" s="324"/>
      <c r="O450" s="324"/>
      <c r="P450" s="586" t="s">
        <v>1252</v>
      </c>
      <c r="Q450" s="301"/>
      <c r="R450" s="177"/>
      <c r="S450" s="403"/>
      <c r="T450" s="525" t="s">
        <v>1122</v>
      </c>
      <c r="U450" s="525" t="s">
        <v>883</v>
      </c>
      <c r="AA450" s="28"/>
      <c r="AB450" s="28"/>
      <c r="AC450" s="997"/>
      <c r="AD450" s="536"/>
    </row>
    <row r="451" spans="6:30" ht="10.5" customHeight="1">
      <c r="F451" s="347"/>
      <c r="G451" s="324"/>
      <c r="H451" s="324"/>
      <c r="I451" s="324"/>
      <c r="J451" s="324"/>
      <c r="K451" s="324"/>
      <c r="L451" s="324"/>
      <c r="M451" s="324"/>
      <c r="N451" s="324"/>
      <c r="O451" s="324"/>
      <c r="P451" s="586" t="s">
        <v>1254</v>
      </c>
      <c r="Q451" s="301"/>
      <c r="R451" s="177"/>
      <c r="S451" s="403"/>
      <c r="T451" s="525" t="s">
        <v>327</v>
      </c>
      <c r="U451" s="525" t="s">
        <v>1103</v>
      </c>
      <c r="AA451" s="28"/>
      <c r="AB451" s="28"/>
      <c r="AC451" s="997"/>
      <c r="AD451" s="536"/>
    </row>
    <row r="452" spans="6:30" ht="10.5" customHeight="1">
      <c r="F452" s="347"/>
      <c r="G452" s="324"/>
      <c r="H452" s="324"/>
      <c r="I452" s="324"/>
      <c r="J452" s="324"/>
      <c r="K452" s="324"/>
      <c r="L452" s="324"/>
      <c r="M452" s="324"/>
      <c r="N452" s="324"/>
      <c r="O452" s="324"/>
      <c r="P452" s="586" t="s">
        <v>2009</v>
      </c>
      <c r="Q452" s="301"/>
      <c r="R452" s="177"/>
      <c r="S452" s="403"/>
      <c r="T452" s="525" t="s">
        <v>330</v>
      </c>
      <c r="U452" s="525" t="s">
        <v>325</v>
      </c>
      <c r="AA452" s="28"/>
      <c r="AB452" s="28"/>
      <c r="AC452" s="997"/>
      <c r="AD452" s="536"/>
    </row>
    <row r="453" spans="6:30" ht="10.5" customHeight="1">
      <c r="F453" s="347"/>
      <c r="G453" s="324"/>
      <c r="H453" s="324"/>
      <c r="I453" s="324"/>
      <c r="J453" s="324"/>
      <c r="K453" s="324"/>
      <c r="L453" s="324"/>
      <c r="M453" s="324"/>
      <c r="N453" s="324"/>
      <c r="O453" s="324"/>
      <c r="P453" s="586" t="s">
        <v>2010</v>
      </c>
      <c r="Q453" s="301"/>
      <c r="R453" s="177"/>
      <c r="S453" s="403"/>
      <c r="T453" s="292" t="s">
        <v>74</v>
      </c>
      <c r="U453" s="292" t="s">
        <v>1934</v>
      </c>
      <c r="AA453" s="28"/>
      <c r="AB453" s="28"/>
      <c r="AC453" s="997"/>
      <c r="AD453" s="536"/>
    </row>
    <row r="454" spans="6:30" ht="10.5" customHeight="1">
      <c r="F454" s="347"/>
      <c r="G454" s="324"/>
      <c r="H454" s="324"/>
      <c r="I454" s="324"/>
      <c r="J454" s="324"/>
      <c r="K454" s="324"/>
      <c r="L454" s="324"/>
      <c r="M454" s="324"/>
      <c r="N454" s="324"/>
      <c r="O454" s="324"/>
      <c r="P454" s="586" t="s">
        <v>76</v>
      </c>
      <c r="Q454" s="301"/>
      <c r="R454" s="177"/>
      <c r="S454" s="403"/>
      <c r="T454" s="292" t="s">
        <v>2266</v>
      </c>
      <c r="U454" s="292" t="s">
        <v>1343</v>
      </c>
      <c r="AA454" s="28"/>
      <c r="AB454" s="28"/>
      <c r="AC454" s="536"/>
      <c r="AD454" s="536"/>
    </row>
    <row r="455" spans="6:30" ht="10.5" customHeight="1">
      <c r="F455" s="347"/>
      <c r="G455" s="324"/>
      <c r="H455" s="324"/>
      <c r="I455" s="324"/>
      <c r="J455" s="324"/>
      <c r="K455" s="324"/>
      <c r="L455" s="324"/>
      <c r="M455" s="324"/>
      <c r="N455" s="324"/>
      <c r="O455" s="324"/>
      <c r="P455" s="586" t="s">
        <v>78</v>
      </c>
      <c r="Q455" s="301"/>
      <c r="R455" s="177"/>
      <c r="S455" s="403"/>
      <c r="T455" s="525" t="s">
        <v>1767</v>
      </c>
      <c r="U455" s="525" t="s">
        <v>2024</v>
      </c>
      <c r="AA455" s="28"/>
      <c r="AB455" s="28"/>
      <c r="AC455" s="536"/>
      <c r="AD455" s="536"/>
    </row>
    <row r="456" spans="6:30" ht="10.5" customHeight="1">
      <c r="F456" s="347"/>
      <c r="G456" s="324"/>
      <c r="H456" s="324"/>
      <c r="I456" s="324"/>
      <c r="J456" s="324"/>
      <c r="K456" s="324"/>
      <c r="L456" s="324"/>
      <c r="M456" s="324"/>
      <c r="N456" s="324"/>
      <c r="O456" s="324"/>
      <c r="P456" s="586" t="s">
        <v>2428</v>
      </c>
      <c r="Q456" s="301"/>
      <c r="R456" s="177"/>
      <c r="S456" s="403"/>
      <c r="T456" s="525" t="s">
        <v>1769</v>
      </c>
      <c r="U456" s="525" t="s">
        <v>109</v>
      </c>
      <c r="AA456" s="28"/>
      <c r="AB456" s="28"/>
      <c r="AC456" s="997"/>
      <c r="AD456" s="536"/>
    </row>
    <row r="457" spans="6:30" ht="10.5" customHeight="1">
      <c r="F457" s="347"/>
      <c r="G457" s="324"/>
      <c r="H457" s="324"/>
      <c r="I457" s="324"/>
      <c r="J457" s="324"/>
      <c r="K457" s="324"/>
      <c r="L457" s="324"/>
      <c r="M457" s="324"/>
      <c r="N457" s="324"/>
      <c r="O457" s="324"/>
      <c r="P457" s="586" t="s">
        <v>2215</v>
      </c>
      <c r="Q457" s="301"/>
      <c r="R457" s="177"/>
      <c r="S457" s="403"/>
      <c r="T457" s="525" t="s">
        <v>698</v>
      </c>
      <c r="U457" s="525" t="s">
        <v>1218</v>
      </c>
      <c r="AA457" s="28"/>
      <c r="AB457" s="28"/>
      <c r="AC457" s="997"/>
      <c r="AD457" s="536"/>
    </row>
    <row r="458" spans="6:30" ht="10.5" customHeight="1">
      <c r="F458" s="347"/>
      <c r="G458" s="324"/>
      <c r="H458" s="324"/>
      <c r="I458" s="324"/>
      <c r="J458" s="324"/>
      <c r="K458" s="324"/>
      <c r="L458" s="324"/>
      <c r="M458" s="324"/>
      <c r="N458" s="324"/>
      <c r="O458" s="324"/>
      <c r="P458" s="586" t="s">
        <v>2216</v>
      </c>
      <c r="Q458" s="301"/>
      <c r="R458" s="177"/>
      <c r="S458" s="403"/>
      <c r="T458" s="525" t="s">
        <v>2369</v>
      </c>
      <c r="U458" s="525" t="s">
        <v>2499</v>
      </c>
      <c r="AA458" s="28"/>
      <c r="AB458" s="28"/>
      <c r="AC458" s="997"/>
      <c r="AD458" s="536"/>
    </row>
    <row r="459" spans="6:30" ht="10.5" customHeight="1">
      <c r="F459" s="347"/>
      <c r="G459" s="324"/>
      <c r="H459" s="324"/>
      <c r="I459" s="324"/>
      <c r="J459" s="324"/>
      <c r="K459" s="324"/>
      <c r="L459" s="324"/>
      <c r="M459" s="324"/>
      <c r="N459" s="324"/>
      <c r="O459" s="324"/>
      <c r="P459" s="586" t="s">
        <v>975</v>
      </c>
      <c r="Q459" s="301"/>
      <c r="R459" s="177"/>
      <c r="S459" s="403"/>
      <c r="T459" s="525" t="s">
        <v>2371</v>
      </c>
      <c r="U459" s="525" t="s">
        <v>2195</v>
      </c>
      <c r="AA459" s="28"/>
      <c r="AB459" s="28"/>
      <c r="AC459" s="997"/>
      <c r="AD459" s="536"/>
    </row>
    <row r="460" spans="6:30" ht="10.5" customHeight="1">
      <c r="F460" s="347"/>
      <c r="G460" s="324"/>
      <c r="H460" s="324"/>
      <c r="I460" s="324"/>
      <c r="J460" s="324"/>
      <c r="K460" s="324"/>
      <c r="L460" s="324"/>
      <c r="M460" s="324"/>
      <c r="N460" s="324"/>
      <c r="O460" s="324"/>
      <c r="P460" s="586" t="s">
        <v>977</v>
      </c>
      <c r="Q460" s="301"/>
      <c r="R460" s="177"/>
      <c r="S460" s="403"/>
      <c r="T460" s="525" t="s">
        <v>475</v>
      </c>
      <c r="U460" s="525" t="s">
        <v>2502</v>
      </c>
      <c r="AA460" s="28"/>
      <c r="AB460" s="28"/>
      <c r="AC460" s="997"/>
      <c r="AD460" s="536"/>
    </row>
    <row r="461" spans="6:30" ht="10.5" customHeight="1">
      <c r="F461" s="347"/>
      <c r="G461" s="324"/>
      <c r="H461" s="324"/>
      <c r="I461" s="324"/>
      <c r="J461" s="324"/>
      <c r="K461" s="324"/>
      <c r="L461" s="324"/>
      <c r="M461" s="324"/>
      <c r="N461" s="324"/>
      <c r="O461" s="324"/>
      <c r="P461" s="586" t="s">
        <v>1502</v>
      </c>
      <c r="Q461" s="301"/>
      <c r="R461" s="177"/>
      <c r="S461" s="403"/>
      <c r="T461" s="525" t="s">
        <v>477</v>
      </c>
      <c r="U461" s="525" t="s">
        <v>1341</v>
      </c>
      <c r="AA461" s="28"/>
      <c r="AB461" s="28"/>
      <c r="AC461" s="997"/>
      <c r="AD461" s="536"/>
    </row>
    <row r="462" spans="6:30" ht="10.5" customHeight="1">
      <c r="F462" s="347"/>
      <c r="G462" s="324"/>
      <c r="H462" s="324"/>
      <c r="I462" s="324"/>
      <c r="J462" s="324"/>
      <c r="K462" s="324"/>
      <c r="L462" s="324"/>
      <c r="M462" s="324"/>
      <c r="N462" s="324"/>
      <c r="O462" s="324"/>
      <c r="P462" s="586" t="s">
        <v>1503</v>
      </c>
      <c r="Q462" s="301"/>
      <c r="R462" s="177"/>
      <c r="S462" s="403"/>
      <c r="T462" s="525" t="s">
        <v>1063</v>
      </c>
      <c r="U462" s="525" t="s">
        <v>1346</v>
      </c>
      <c r="AA462" s="28"/>
      <c r="AB462" s="28"/>
      <c r="AC462" s="997"/>
      <c r="AD462" s="536"/>
    </row>
    <row r="463" spans="6:30" ht="10.5" customHeight="1">
      <c r="F463" s="347"/>
      <c r="G463" s="324"/>
      <c r="H463" s="324"/>
      <c r="I463" s="324"/>
      <c r="J463" s="324"/>
      <c r="K463" s="324"/>
      <c r="L463" s="324"/>
      <c r="M463" s="324"/>
      <c r="N463" s="324"/>
      <c r="O463" s="324"/>
      <c r="P463" s="586" t="s">
        <v>1505</v>
      </c>
      <c r="Q463" s="301"/>
      <c r="R463" s="177"/>
      <c r="S463" s="403"/>
      <c r="T463" s="525" t="s">
        <v>479</v>
      </c>
      <c r="U463" s="525" t="s">
        <v>1346</v>
      </c>
      <c r="AA463" s="28"/>
      <c r="AB463" s="28"/>
      <c r="AC463" s="997"/>
      <c r="AD463" s="536"/>
    </row>
    <row r="464" spans="6:30" ht="10.5" customHeight="1">
      <c r="F464" s="347"/>
      <c r="G464" s="324"/>
      <c r="H464" s="324"/>
      <c r="I464" s="324"/>
      <c r="J464" s="324"/>
      <c r="K464" s="324"/>
      <c r="L464" s="324"/>
      <c r="M464" s="324"/>
      <c r="N464" s="324"/>
      <c r="O464" s="324"/>
      <c r="P464" s="586" t="s">
        <v>1507</v>
      </c>
      <c r="Q464" s="301"/>
      <c r="R464" s="177"/>
      <c r="S464" s="403"/>
      <c r="T464" s="292" t="s">
        <v>1253</v>
      </c>
      <c r="U464" s="292" t="s">
        <v>1326</v>
      </c>
      <c r="AA464" s="28"/>
      <c r="AB464" s="28"/>
      <c r="AC464" s="997"/>
      <c r="AD464" s="536"/>
    </row>
    <row r="465" spans="6:30" ht="10.5" customHeight="1">
      <c r="F465" s="347"/>
      <c r="G465" s="324"/>
      <c r="H465" s="324"/>
      <c r="I465" s="324"/>
      <c r="J465" s="324"/>
      <c r="K465" s="324"/>
      <c r="L465" s="324"/>
      <c r="M465" s="324"/>
      <c r="N465" s="324"/>
      <c r="O465" s="324"/>
      <c r="P465" s="586" t="s">
        <v>1509</v>
      </c>
      <c r="Q465" s="301"/>
      <c r="R465" s="177"/>
      <c r="S465" s="403"/>
      <c r="T465" s="525" t="s">
        <v>1255</v>
      </c>
      <c r="U465" s="525" t="s">
        <v>334</v>
      </c>
      <c r="AA465" s="28"/>
      <c r="AB465" s="28"/>
      <c r="AC465" s="536"/>
      <c r="AD465" s="536"/>
    </row>
    <row r="466" spans="6:30" ht="10.5" customHeight="1">
      <c r="F466" s="347"/>
      <c r="G466" s="324"/>
      <c r="H466" s="324"/>
      <c r="I466" s="324"/>
      <c r="J466" s="324"/>
      <c r="K466" s="324"/>
      <c r="L466" s="324"/>
      <c r="M466" s="324"/>
      <c r="N466" s="324"/>
      <c r="O466" s="324"/>
      <c r="P466" s="586" t="s">
        <v>2354</v>
      </c>
      <c r="Q466" s="301"/>
      <c r="R466" s="177"/>
      <c r="S466" s="403"/>
      <c r="T466" s="525" t="s">
        <v>2882</v>
      </c>
      <c r="U466" s="525" t="s">
        <v>2549</v>
      </c>
      <c r="AA466" s="28"/>
      <c r="AB466" s="28"/>
      <c r="AC466" s="997"/>
      <c r="AD466" s="536"/>
    </row>
    <row r="467" spans="6:30" ht="10.5" customHeight="1">
      <c r="F467" s="347"/>
      <c r="G467" s="324"/>
      <c r="H467" s="324"/>
      <c r="I467" s="324"/>
      <c r="J467" s="324"/>
      <c r="K467" s="324"/>
      <c r="L467" s="324"/>
      <c r="M467" s="324"/>
      <c r="N467" s="324"/>
      <c r="O467" s="324"/>
      <c r="P467" s="586" t="s">
        <v>2613</v>
      </c>
      <c r="Q467" s="301"/>
      <c r="R467" s="177"/>
      <c r="S467" s="403"/>
      <c r="T467" s="525" t="s">
        <v>2011</v>
      </c>
      <c r="U467" s="525" t="s">
        <v>2023</v>
      </c>
      <c r="AA467" s="28"/>
      <c r="AB467" s="28"/>
      <c r="AC467" s="997"/>
      <c r="AD467" s="536"/>
    </row>
    <row r="468" spans="6:30" ht="10.5" customHeight="1">
      <c r="F468" s="347"/>
      <c r="G468" s="324"/>
      <c r="H468" s="324"/>
      <c r="I468" s="324"/>
      <c r="J468" s="324"/>
      <c r="K468" s="324"/>
      <c r="L468" s="324"/>
      <c r="M468" s="324"/>
      <c r="N468" s="324"/>
      <c r="O468" s="324"/>
      <c r="P468" s="586" t="s">
        <v>1293</v>
      </c>
      <c r="Q468" s="301"/>
      <c r="R468" s="177"/>
      <c r="S468" s="403"/>
      <c r="T468" s="525" t="s">
        <v>77</v>
      </c>
      <c r="U468" s="525" t="s">
        <v>1930</v>
      </c>
      <c r="AA468" s="28"/>
      <c r="AB468" s="28"/>
      <c r="AC468" s="997"/>
      <c r="AD468" s="536"/>
    </row>
    <row r="469" spans="6:30" ht="10.5" customHeight="1">
      <c r="F469" s="347"/>
      <c r="G469" s="324"/>
      <c r="H469" s="324"/>
      <c r="I469" s="324"/>
      <c r="J469" s="324"/>
      <c r="K469" s="324"/>
      <c r="L469" s="324"/>
      <c r="M469" s="324"/>
      <c r="N469" s="324"/>
      <c r="O469" s="324"/>
      <c r="P469" s="586" t="s">
        <v>1520</v>
      </c>
      <c r="Q469" s="301"/>
      <c r="R469" s="177"/>
      <c r="S469" s="403"/>
      <c r="T469" s="525" t="s">
        <v>638</v>
      </c>
      <c r="U469" s="525" t="s">
        <v>2499</v>
      </c>
      <c r="AA469" s="28"/>
      <c r="AB469" s="28"/>
      <c r="AC469" s="997"/>
      <c r="AD469" s="536"/>
    </row>
    <row r="470" spans="6:30" ht="10.5" customHeight="1">
      <c r="F470" s="347"/>
      <c r="G470" s="324"/>
      <c r="H470" s="324"/>
      <c r="I470" s="324"/>
      <c r="J470" s="324"/>
      <c r="K470" s="324"/>
      <c r="L470" s="324"/>
      <c r="M470" s="324"/>
      <c r="N470" s="324"/>
      <c r="O470" s="324"/>
      <c r="P470" s="586" t="s">
        <v>827</v>
      </c>
      <c r="Q470" s="301"/>
      <c r="R470" s="177"/>
      <c r="S470" s="403"/>
      <c r="T470" s="525" t="s">
        <v>79</v>
      </c>
      <c r="U470" s="525" t="s">
        <v>176</v>
      </c>
      <c r="AA470" s="28"/>
      <c r="AB470" s="28"/>
      <c r="AC470" s="997"/>
      <c r="AD470" s="536"/>
    </row>
    <row r="471" spans="6:30" ht="10.5" customHeight="1">
      <c r="F471" s="347"/>
      <c r="G471" s="324"/>
      <c r="H471" s="324"/>
      <c r="I471" s="324"/>
      <c r="J471" s="324"/>
      <c r="K471" s="324"/>
      <c r="L471" s="324"/>
      <c r="M471" s="324"/>
      <c r="N471" s="324"/>
      <c r="O471" s="324"/>
      <c r="P471" s="586" t="s">
        <v>828</v>
      </c>
      <c r="Q471" s="301"/>
      <c r="R471" s="177"/>
      <c r="S471" s="403"/>
      <c r="T471" s="525" t="s">
        <v>2429</v>
      </c>
      <c r="U471" s="525" t="s">
        <v>1464</v>
      </c>
      <c r="AA471" s="28"/>
      <c r="AB471" s="28"/>
      <c r="AC471" s="997"/>
      <c r="AD471" s="536"/>
    </row>
    <row r="472" spans="6:30" ht="10.5" customHeight="1">
      <c r="F472" s="347"/>
      <c r="G472" s="324"/>
      <c r="H472" s="324"/>
      <c r="I472" s="324"/>
      <c r="J472" s="324"/>
      <c r="K472" s="324"/>
      <c r="L472" s="324"/>
      <c r="M472" s="324"/>
      <c r="N472" s="324"/>
      <c r="O472" s="324"/>
      <c r="P472" s="586" t="s">
        <v>830</v>
      </c>
      <c r="Q472" s="301"/>
      <c r="R472" s="177"/>
      <c r="S472" s="403"/>
      <c r="T472" s="525" t="s">
        <v>1064</v>
      </c>
      <c r="U472" s="525" t="s">
        <v>1532</v>
      </c>
      <c r="AA472" s="28"/>
      <c r="AB472" s="28"/>
      <c r="AC472" s="997"/>
      <c r="AD472" s="536"/>
    </row>
    <row r="473" spans="6:30" ht="10.5" customHeight="1">
      <c r="F473" s="347"/>
      <c r="G473" s="324"/>
      <c r="H473" s="324"/>
      <c r="I473" s="324"/>
      <c r="J473" s="324"/>
      <c r="K473" s="324"/>
      <c r="L473" s="324"/>
      <c r="M473" s="324"/>
      <c r="N473" s="324"/>
      <c r="O473" s="324"/>
      <c r="P473" s="586" t="s">
        <v>831</v>
      </c>
      <c r="Q473" s="301"/>
      <c r="R473" s="177"/>
      <c r="S473" s="403"/>
      <c r="T473" s="525" t="s">
        <v>1065</v>
      </c>
      <c r="U473" s="525" t="s">
        <v>1120</v>
      </c>
      <c r="AA473" s="28"/>
      <c r="AB473" s="28"/>
      <c r="AC473" s="997"/>
      <c r="AD473" s="536"/>
    </row>
    <row r="474" spans="6:30" ht="10.5" customHeight="1">
      <c r="F474" s="347"/>
      <c r="G474" s="324"/>
      <c r="H474" s="324"/>
      <c r="I474" s="324"/>
      <c r="J474" s="324"/>
      <c r="K474" s="324"/>
      <c r="L474" s="324"/>
      <c r="M474" s="324"/>
      <c r="N474" s="324"/>
      <c r="O474" s="324"/>
      <c r="P474" s="586" t="s">
        <v>120</v>
      </c>
      <c r="Q474" s="301"/>
      <c r="R474" s="177"/>
      <c r="S474" s="403"/>
      <c r="T474" s="525" t="s">
        <v>619</v>
      </c>
      <c r="U474" s="525" t="s">
        <v>666</v>
      </c>
      <c r="AA474" s="28"/>
      <c r="AB474" s="28"/>
      <c r="AC474" s="997"/>
      <c r="AD474" s="536"/>
    </row>
    <row r="475" spans="6:30" ht="10.5" customHeight="1">
      <c r="F475" s="347"/>
      <c r="G475" s="324"/>
      <c r="H475" s="324"/>
      <c r="I475" s="324"/>
      <c r="J475" s="324"/>
      <c r="K475" s="324"/>
      <c r="L475" s="324"/>
      <c r="M475" s="324"/>
      <c r="N475" s="324"/>
      <c r="O475" s="324"/>
      <c r="P475" s="586" t="s">
        <v>251</v>
      </c>
      <c r="Q475" s="301"/>
      <c r="R475" s="177"/>
      <c r="S475" s="403"/>
      <c r="T475" s="525" t="s">
        <v>976</v>
      </c>
      <c r="U475" s="525" t="s">
        <v>122</v>
      </c>
      <c r="AA475" s="28"/>
      <c r="AB475" s="28"/>
      <c r="AC475" s="997"/>
      <c r="AD475" s="536"/>
    </row>
    <row r="476" spans="6:30" ht="10.5" customHeight="1">
      <c r="F476" s="347"/>
      <c r="G476" s="324"/>
      <c r="H476" s="324"/>
      <c r="I476" s="324"/>
      <c r="J476" s="324"/>
      <c r="K476" s="324"/>
      <c r="L476" s="324"/>
      <c r="M476" s="324"/>
      <c r="N476" s="324"/>
      <c r="O476" s="324"/>
      <c r="P476" s="586" t="s">
        <v>1517</v>
      </c>
      <c r="Q476" s="301"/>
      <c r="R476" s="177"/>
      <c r="S476" s="403"/>
      <c r="T476" s="525" t="s">
        <v>978</v>
      </c>
      <c r="U476" s="525" t="s">
        <v>1344</v>
      </c>
      <c r="AA476" s="28"/>
      <c r="AB476" s="28"/>
      <c r="AC476" s="997"/>
      <c r="AD476" s="536"/>
    </row>
    <row r="477" spans="6:30" ht="10.5" customHeight="1">
      <c r="F477" s="347"/>
      <c r="G477" s="324"/>
      <c r="H477" s="324"/>
      <c r="I477" s="324"/>
      <c r="J477" s="324"/>
      <c r="K477" s="324"/>
      <c r="L477" s="324"/>
      <c r="M477" s="324"/>
      <c r="N477" s="324"/>
      <c r="O477" s="324"/>
      <c r="P477" s="586" t="s">
        <v>246</v>
      </c>
      <c r="Q477" s="301"/>
      <c r="R477" s="177"/>
      <c r="S477" s="403"/>
      <c r="T477" s="525" t="s">
        <v>1504</v>
      </c>
      <c r="U477" s="525" t="s">
        <v>1467</v>
      </c>
      <c r="AA477" s="28"/>
      <c r="AB477" s="28"/>
      <c r="AC477" s="997"/>
      <c r="AD477" s="536"/>
    </row>
    <row r="478" spans="6:30" ht="10.5" customHeight="1">
      <c r="F478" s="347"/>
      <c r="G478" s="324"/>
      <c r="H478" s="324"/>
      <c r="I478" s="324"/>
      <c r="J478" s="324"/>
      <c r="K478" s="324"/>
      <c r="L478" s="324"/>
      <c r="M478" s="324"/>
      <c r="N478" s="324"/>
      <c r="O478" s="324"/>
      <c r="P478" s="586" t="s">
        <v>1522</v>
      </c>
      <c r="Q478" s="301"/>
      <c r="R478" s="177"/>
      <c r="S478" s="403"/>
      <c r="T478" s="525" t="s">
        <v>1506</v>
      </c>
      <c r="U478" s="525" t="s">
        <v>2546</v>
      </c>
      <c r="AA478" s="28"/>
      <c r="AB478" s="28"/>
      <c r="AC478" s="997"/>
      <c r="AD478" s="536"/>
    </row>
    <row r="479" spans="6:30" ht="10.5" customHeight="1">
      <c r="F479" s="347"/>
      <c r="G479" s="324"/>
      <c r="H479" s="324"/>
      <c r="I479" s="324"/>
      <c r="J479" s="324"/>
      <c r="K479" s="324"/>
      <c r="L479" s="324"/>
      <c r="M479" s="324"/>
      <c r="N479" s="324"/>
      <c r="O479" s="324"/>
      <c r="P479" s="586" t="s">
        <v>1524</v>
      </c>
      <c r="Q479" s="301"/>
      <c r="R479" s="177"/>
      <c r="S479" s="403"/>
      <c r="T479" s="525" t="s">
        <v>1508</v>
      </c>
      <c r="U479" s="525" t="s">
        <v>2193</v>
      </c>
      <c r="AA479" s="28"/>
      <c r="AB479" s="28"/>
      <c r="AC479" s="997"/>
      <c r="AD479" s="536"/>
    </row>
    <row r="480" spans="6:30" ht="10.5" customHeight="1">
      <c r="F480" s="347"/>
      <c r="G480" s="324"/>
      <c r="H480" s="324"/>
      <c r="I480" s="324"/>
      <c r="J480" s="324"/>
      <c r="K480" s="324"/>
      <c r="L480" s="324"/>
      <c r="M480" s="324"/>
      <c r="N480" s="324"/>
      <c r="O480" s="324"/>
      <c r="P480" s="586" t="s">
        <v>1404</v>
      </c>
      <c r="Q480" s="301"/>
      <c r="R480" s="177"/>
      <c r="S480" s="403"/>
      <c r="T480" s="525" t="s">
        <v>2353</v>
      </c>
      <c r="U480" s="525" t="s">
        <v>2608</v>
      </c>
      <c r="AA480" s="28"/>
      <c r="AB480" s="28"/>
      <c r="AC480" s="997"/>
      <c r="AD480" s="536"/>
    </row>
    <row r="481" spans="6:30" ht="10.5" customHeight="1">
      <c r="F481" s="347"/>
      <c r="G481" s="324"/>
      <c r="H481" s="324"/>
      <c r="I481" s="324"/>
      <c r="J481" s="324"/>
      <c r="K481" s="324"/>
      <c r="L481" s="324"/>
      <c r="M481" s="324"/>
      <c r="N481" s="324"/>
      <c r="O481" s="324"/>
      <c r="P481" s="586" t="s">
        <v>1406</v>
      </c>
      <c r="Q481" s="301"/>
      <c r="R481" s="177"/>
      <c r="S481" s="403"/>
      <c r="T481" s="525" t="s">
        <v>2355</v>
      </c>
      <c r="U481" s="525" t="s">
        <v>122</v>
      </c>
      <c r="AA481" s="28"/>
      <c r="AB481" s="28"/>
      <c r="AC481" s="997"/>
      <c r="AD481" s="536"/>
    </row>
    <row r="482" spans="6:30" ht="10.5" customHeight="1">
      <c r="F482" s="347"/>
      <c r="G482" s="324"/>
      <c r="H482" s="324"/>
      <c r="I482" s="324"/>
      <c r="J482" s="324"/>
      <c r="K482" s="324"/>
      <c r="L482" s="324"/>
      <c r="M482" s="324"/>
      <c r="N482" s="324"/>
      <c r="O482" s="324"/>
      <c r="P482" s="586" t="s">
        <v>1408</v>
      </c>
      <c r="Q482" s="301"/>
      <c r="R482" s="177"/>
      <c r="S482" s="403"/>
      <c r="T482" s="292" t="s">
        <v>1292</v>
      </c>
      <c r="U482" s="292" t="s">
        <v>962</v>
      </c>
      <c r="AA482" s="28"/>
      <c r="AB482" s="28"/>
      <c r="AC482" s="997"/>
      <c r="AD482" s="536"/>
    </row>
    <row r="483" spans="6:30" ht="10.5" customHeight="1">
      <c r="F483" s="347"/>
      <c r="G483" s="324"/>
      <c r="H483" s="324"/>
      <c r="I483" s="324"/>
      <c r="J483" s="324"/>
      <c r="K483" s="324"/>
      <c r="L483" s="324"/>
      <c r="M483" s="324"/>
      <c r="N483" s="324"/>
      <c r="O483" s="324"/>
      <c r="P483" s="586" t="s">
        <v>1409</v>
      </c>
      <c r="Q483" s="301"/>
      <c r="R483" s="177"/>
      <c r="S483" s="403"/>
      <c r="T483" s="525" t="s">
        <v>1066</v>
      </c>
      <c r="U483" s="525" t="s">
        <v>2021</v>
      </c>
      <c r="AA483" s="28"/>
      <c r="AB483" s="28"/>
      <c r="AC483" s="536"/>
      <c r="AD483" s="536"/>
    </row>
    <row r="484" spans="6:30" ht="10.5" customHeight="1">
      <c r="F484" s="347"/>
      <c r="G484" s="324"/>
      <c r="H484" s="324"/>
      <c r="I484" s="324"/>
      <c r="J484" s="324"/>
      <c r="K484" s="324"/>
      <c r="L484" s="324"/>
      <c r="M484" s="324"/>
      <c r="N484" s="324"/>
      <c r="O484" s="324"/>
      <c r="P484" s="586" t="s">
        <v>1411</v>
      </c>
      <c r="Q484" s="301"/>
      <c r="R484" s="177"/>
      <c r="S484" s="403"/>
      <c r="T484" s="525" t="s">
        <v>1294</v>
      </c>
      <c r="U484" s="525" t="s">
        <v>1469</v>
      </c>
      <c r="AA484" s="28"/>
      <c r="AB484" s="28"/>
      <c r="AC484" s="997"/>
      <c r="AD484" s="536"/>
    </row>
    <row r="485" spans="6:30" ht="10.5" customHeight="1">
      <c r="F485" s="347"/>
      <c r="G485" s="324"/>
      <c r="H485" s="324"/>
      <c r="I485" s="324"/>
      <c r="J485" s="324"/>
      <c r="K485" s="324"/>
      <c r="L485" s="324"/>
      <c r="M485" s="324"/>
      <c r="N485" s="324"/>
      <c r="O485" s="324"/>
      <c r="P485" s="586" t="s">
        <v>1413</v>
      </c>
      <c r="Q485" s="301"/>
      <c r="R485" s="177"/>
      <c r="S485" s="403"/>
      <c r="T485" s="525" t="s">
        <v>835</v>
      </c>
      <c r="U485" s="525" t="s">
        <v>2023</v>
      </c>
      <c r="AA485" s="28"/>
      <c r="AB485" s="28"/>
      <c r="AC485" s="997"/>
      <c r="AD485" s="536"/>
    </row>
    <row r="486" spans="6:30" ht="10.5" customHeight="1">
      <c r="F486" s="347"/>
      <c r="G486" s="324"/>
      <c r="H486" s="324"/>
      <c r="I486" s="324"/>
      <c r="J486" s="324"/>
      <c r="K486" s="324"/>
      <c r="L486" s="324"/>
      <c r="M486" s="324"/>
      <c r="N486" s="324"/>
      <c r="O486" s="324"/>
      <c r="P486" s="586" t="s">
        <v>1581</v>
      </c>
      <c r="Q486" s="301"/>
      <c r="R486" s="177"/>
      <c r="S486" s="403"/>
      <c r="T486" s="525" t="s">
        <v>836</v>
      </c>
      <c r="U486" s="525" t="s">
        <v>882</v>
      </c>
      <c r="AA486" s="28"/>
      <c r="AB486" s="28"/>
      <c r="AC486" s="997"/>
      <c r="AD486" s="536"/>
    </row>
    <row r="487" spans="6:30" ht="10.5" customHeight="1">
      <c r="F487" s="347"/>
      <c r="G487" s="324"/>
      <c r="H487" s="324"/>
      <c r="I487" s="324"/>
      <c r="J487" s="324"/>
      <c r="K487" s="324"/>
      <c r="L487" s="324"/>
      <c r="M487" s="324"/>
      <c r="N487" s="324"/>
      <c r="O487" s="324"/>
      <c r="P487" s="586" t="s">
        <v>1582</v>
      </c>
      <c r="Q487" s="301"/>
      <c r="R487" s="177"/>
      <c r="S487" s="403"/>
      <c r="T487" s="525" t="s">
        <v>829</v>
      </c>
      <c r="U487" s="525" t="s">
        <v>634</v>
      </c>
      <c r="AA487" s="28"/>
      <c r="AB487" s="28"/>
      <c r="AC487" s="997"/>
      <c r="AD487" s="536"/>
    </row>
    <row r="488" spans="6:30" ht="10.5" customHeight="1">
      <c r="F488" s="347"/>
      <c r="G488" s="324"/>
      <c r="H488" s="324"/>
      <c r="I488" s="324"/>
      <c r="J488" s="324"/>
      <c r="K488" s="324"/>
      <c r="L488" s="324"/>
      <c r="M488" s="324"/>
      <c r="N488" s="324"/>
      <c r="O488" s="324"/>
      <c r="P488" s="586" t="s">
        <v>1583</v>
      </c>
      <c r="Q488" s="301"/>
      <c r="R488" s="177"/>
      <c r="S488" s="403"/>
      <c r="T488" s="525" t="s">
        <v>832</v>
      </c>
      <c r="U488" s="525" t="s">
        <v>321</v>
      </c>
      <c r="AA488" s="28"/>
      <c r="AB488" s="28"/>
      <c r="AC488" s="997"/>
      <c r="AD488" s="536"/>
    </row>
    <row r="489" spans="6:30" ht="10.5" customHeight="1">
      <c r="F489" s="347"/>
      <c r="G489" s="324"/>
      <c r="H489" s="324"/>
      <c r="I489" s="324"/>
      <c r="J489" s="324"/>
      <c r="K489" s="324"/>
      <c r="L489" s="324"/>
      <c r="M489" s="324"/>
      <c r="N489" s="324"/>
      <c r="O489" s="324"/>
      <c r="P489" s="586" t="s">
        <v>1584</v>
      </c>
      <c r="Q489" s="301"/>
      <c r="R489" s="177"/>
      <c r="S489" s="403"/>
      <c r="T489" s="525" t="s">
        <v>121</v>
      </c>
      <c r="U489" s="525" t="s">
        <v>2024</v>
      </c>
      <c r="AA489" s="28"/>
      <c r="AB489" s="28"/>
      <c r="AC489" s="997"/>
      <c r="AD489" s="536"/>
    </row>
    <row r="490" spans="6:30" ht="10.5" customHeight="1">
      <c r="F490" s="347"/>
      <c r="G490" s="324"/>
      <c r="H490" s="324"/>
      <c r="I490" s="324"/>
      <c r="J490" s="324"/>
      <c r="K490" s="324"/>
      <c r="L490" s="324"/>
      <c r="M490" s="324"/>
      <c r="N490" s="324"/>
      <c r="O490" s="324"/>
      <c r="P490" s="586" t="s">
        <v>1586</v>
      </c>
      <c r="Q490" s="301"/>
      <c r="R490" s="177"/>
      <c r="S490" s="403"/>
      <c r="T490" s="525" t="s">
        <v>252</v>
      </c>
      <c r="U490" s="525" t="s">
        <v>1893</v>
      </c>
      <c r="AA490" s="28"/>
      <c r="AB490" s="28"/>
      <c r="AC490" s="997"/>
      <c r="AD490" s="536"/>
    </row>
    <row r="491" spans="6:30" ht="10.5" customHeight="1">
      <c r="F491" s="347"/>
      <c r="G491" s="324"/>
      <c r="H491" s="324"/>
      <c r="I491" s="324"/>
      <c r="J491" s="324"/>
      <c r="K491" s="324"/>
      <c r="L491" s="324"/>
      <c r="M491" s="324"/>
      <c r="N491" s="324"/>
      <c r="O491" s="324"/>
      <c r="P491" s="586" t="s">
        <v>1588</v>
      </c>
      <c r="Q491" s="301"/>
      <c r="R491" s="177"/>
      <c r="S491" s="403"/>
      <c r="T491" s="292" t="s">
        <v>1518</v>
      </c>
      <c r="U491" s="292" t="s">
        <v>2023</v>
      </c>
      <c r="AA491" s="28"/>
      <c r="AB491" s="28"/>
      <c r="AC491" s="997"/>
      <c r="AD491" s="536"/>
    </row>
    <row r="492" spans="6:30" ht="10.5" customHeight="1">
      <c r="F492" s="347"/>
      <c r="G492" s="324"/>
      <c r="H492" s="324"/>
      <c r="I492" s="324"/>
      <c r="J492" s="324"/>
      <c r="K492" s="324"/>
      <c r="L492" s="324"/>
      <c r="M492" s="324"/>
      <c r="N492" s="324"/>
      <c r="O492" s="324"/>
      <c r="P492" s="586" t="s">
        <v>1589</v>
      </c>
      <c r="Q492" s="301"/>
      <c r="R492" s="177"/>
      <c r="S492" s="403"/>
      <c r="T492" s="525" t="s">
        <v>1521</v>
      </c>
      <c r="U492" s="525" t="s">
        <v>330</v>
      </c>
      <c r="AA492" s="28"/>
      <c r="AB492" s="28"/>
      <c r="AC492" s="536"/>
      <c r="AD492" s="536"/>
    </row>
    <row r="493" spans="6:30" ht="10.5" customHeight="1">
      <c r="F493" s="347"/>
      <c r="G493" s="324"/>
      <c r="H493" s="324"/>
      <c r="I493" s="324"/>
      <c r="J493" s="324"/>
      <c r="K493" s="324"/>
      <c r="L493" s="324"/>
      <c r="M493" s="324"/>
      <c r="N493" s="324"/>
      <c r="O493" s="324"/>
      <c r="P493" s="586" t="s">
        <v>1591</v>
      </c>
      <c r="Q493" s="301"/>
      <c r="R493" s="177"/>
      <c r="S493" s="403"/>
      <c r="T493" s="525" t="s">
        <v>1523</v>
      </c>
      <c r="U493" s="525" t="s">
        <v>2499</v>
      </c>
      <c r="AA493" s="28"/>
      <c r="AB493" s="28"/>
      <c r="AC493" s="997"/>
      <c r="AD493" s="536"/>
    </row>
    <row r="494" spans="6:30" ht="10.5" customHeight="1">
      <c r="F494" s="347"/>
      <c r="G494" s="324"/>
      <c r="H494" s="324"/>
      <c r="I494" s="324"/>
      <c r="J494" s="324"/>
      <c r="K494" s="324"/>
      <c r="L494" s="324"/>
      <c r="M494" s="324"/>
      <c r="N494" s="324"/>
      <c r="O494" s="324"/>
      <c r="P494" s="586" t="s">
        <v>380</v>
      </c>
      <c r="Q494" s="301"/>
      <c r="R494" s="177"/>
      <c r="S494" s="403"/>
      <c r="T494" s="525" t="s">
        <v>487</v>
      </c>
      <c r="U494" s="525" t="s">
        <v>1471</v>
      </c>
      <c r="AA494" s="28"/>
      <c r="AB494" s="28"/>
      <c r="AC494" s="997"/>
      <c r="AD494" s="536"/>
    </row>
    <row r="495" spans="6:30" ht="10.5" customHeight="1">
      <c r="F495" s="347"/>
      <c r="G495" s="324"/>
      <c r="H495" s="324"/>
      <c r="I495" s="324"/>
      <c r="J495" s="324"/>
      <c r="K495" s="324"/>
      <c r="L495" s="324"/>
      <c r="M495" s="324"/>
      <c r="N495" s="324"/>
      <c r="O495" s="324"/>
      <c r="P495" s="586" t="s">
        <v>248</v>
      </c>
      <c r="Q495" s="301"/>
      <c r="R495" s="177"/>
      <c r="S495" s="403"/>
      <c r="T495" s="525" t="s">
        <v>1405</v>
      </c>
      <c r="U495" s="525" t="s">
        <v>313</v>
      </c>
      <c r="AA495" s="28"/>
      <c r="AB495" s="28"/>
      <c r="AC495" s="997"/>
      <c r="AD495" s="536"/>
    </row>
    <row r="496" spans="6:30" ht="10.5" customHeight="1">
      <c r="F496" s="347"/>
      <c r="G496" s="324"/>
      <c r="H496" s="324"/>
      <c r="I496" s="324"/>
      <c r="J496" s="324"/>
      <c r="K496" s="324"/>
      <c r="L496" s="324"/>
      <c r="M496" s="324"/>
      <c r="N496" s="324"/>
      <c r="O496" s="324"/>
      <c r="P496" s="586" t="s">
        <v>250</v>
      </c>
      <c r="Q496" s="301"/>
      <c r="R496" s="177"/>
      <c r="S496" s="403"/>
      <c r="T496" s="525" t="s">
        <v>1407</v>
      </c>
      <c r="U496" s="525" t="s">
        <v>880</v>
      </c>
      <c r="AA496" s="28"/>
      <c r="AB496" s="28"/>
      <c r="AC496" s="997"/>
      <c r="AD496" s="536"/>
    </row>
    <row r="497" spans="6:30" ht="10.5" customHeight="1">
      <c r="F497" s="347"/>
      <c r="G497" s="324"/>
      <c r="H497" s="324"/>
      <c r="I497" s="324"/>
      <c r="J497" s="324"/>
      <c r="K497" s="324"/>
      <c r="L497" s="324"/>
      <c r="M497" s="324"/>
      <c r="N497" s="324"/>
      <c r="O497" s="324"/>
      <c r="P497" s="586" t="s">
        <v>14</v>
      </c>
      <c r="Q497" s="301"/>
      <c r="R497" s="177"/>
      <c r="S497" s="403"/>
      <c r="T497" s="525" t="s">
        <v>177</v>
      </c>
      <c r="U497" s="525" t="s">
        <v>2191</v>
      </c>
      <c r="AA497" s="28"/>
      <c r="AB497" s="28"/>
      <c r="AC497" s="997"/>
      <c r="AD497" s="536"/>
    </row>
    <row r="498" spans="6:30" ht="10.5" customHeight="1">
      <c r="F498" s="347"/>
      <c r="G498" s="324"/>
      <c r="H498" s="324"/>
      <c r="I498" s="324"/>
      <c r="J498" s="324"/>
      <c r="K498" s="324"/>
      <c r="L498" s="324"/>
      <c r="M498" s="324"/>
      <c r="N498" s="324"/>
      <c r="O498" s="324"/>
      <c r="P498" s="586" t="s">
        <v>1095</v>
      </c>
      <c r="Q498" s="301"/>
      <c r="R498" s="177"/>
      <c r="S498" s="403"/>
      <c r="T498" s="525" t="s">
        <v>1410</v>
      </c>
      <c r="U498" s="525" t="s">
        <v>1893</v>
      </c>
      <c r="AA498" s="28"/>
      <c r="AB498" s="28"/>
      <c r="AC498" s="997"/>
      <c r="AD498" s="536"/>
    </row>
    <row r="499" spans="6:30" ht="10.5" customHeight="1">
      <c r="F499" s="347"/>
      <c r="G499" s="324"/>
      <c r="H499" s="324"/>
      <c r="I499" s="324"/>
      <c r="J499" s="324"/>
      <c r="K499" s="324"/>
      <c r="L499" s="324"/>
      <c r="M499" s="324"/>
      <c r="N499" s="324"/>
      <c r="O499" s="324"/>
      <c r="P499" s="586" t="s">
        <v>1097</v>
      </c>
      <c r="Q499" s="301"/>
      <c r="R499" s="177"/>
      <c r="S499" s="403"/>
      <c r="T499" s="525" t="s">
        <v>1412</v>
      </c>
      <c r="U499" s="525" t="s">
        <v>163</v>
      </c>
      <c r="AA499" s="28"/>
      <c r="AB499" s="28"/>
      <c r="AC499" s="997"/>
      <c r="AD499" s="536"/>
    </row>
    <row r="500" spans="6:30" ht="10.5" customHeight="1">
      <c r="F500" s="347"/>
      <c r="G500" s="324"/>
      <c r="H500" s="324"/>
      <c r="I500" s="324"/>
      <c r="J500" s="324"/>
      <c r="K500" s="324"/>
      <c r="L500" s="324"/>
      <c r="M500" s="324"/>
      <c r="N500" s="324"/>
      <c r="O500" s="324"/>
      <c r="P500" s="586" t="s">
        <v>1099</v>
      </c>
      <c r="Q500" s="301"/>
      <c r="R500" s="177"/>
      <c r="S500" s="403"/>
      <c r="T500" s="525" t="s">
        <v>2508</v>
      </c>
      <c r="U500" s="525" t="s">
        <v>1924</v>
      </c>
      <c r="AA500" s="28"/>
      <c r="AB500" s="28"/>
      <c r="AC500" s="997"/>
      <c r="AD500" s="536"/>
    </row>
    <row r="501" spans="6:30" ht="10.5" customHeight="1">
      <c r="F501" s="347"/>
      <c r="G501" s="324"/>
      <c r="H501" s="324"/>
      <c r="I501" s="324"/>
      <c r="J501" s="324"/>
      <c r="K501" s="324"/>
      <c r="L501" s="324"/>
      <c r="M501" s="324"/>
      <c r="N501" s="324"/>
      <c r="O501" s="324"/>
      <c r="P501" s="586" t="s">
        <v>259</v>
      </c>
      <c r="Q501" s="301"/>
      <c r="R501" s="177"/>
      <c r="S501" s="403"/>
      <c r="T501" s="525" t="s">
        <v>1067</v>
      </c>
      <c r="U501" s="525" t="s">
        <v>2502</v>
      </c>
      <c r="AA501" s="28"/>
      <c r="AB501" s="28"/>
      <c r="AC501" s="997"/>
      <c r="AD501" s="536"/>
    </row>
    <row r="502" spans="6:30" ht="10.5" customHeight="1">
      <c r="F502" s="347"/>
      <c r="G502" s="324"/>
      <c r="H502" s="324"/>
      <c r="I502" s="324"/>
      <c r="J502" s="324"/>
      <c r="K502" s="324"/>
      <c r="L502" s="324"/>
      <c r="M502" s="324"/>
      <c r="N502" s="324"/>
      <c r="O502" s="324"/>
      <c r="P502" s="586" t="s">
        <v>261</v>
      </c>
      <c r="Q502" s="301"/>
      <c r="R502" s="177"/>
      <c r="S502" s="403"/>
      <c r="T502" s="525" t="s">
        <v>1332</v>
      </c>
      <c r="U502" s="525" t="s">
        <v>1331</v>
      </c>
      <c r="AA502" s="28"/>
      <c r="AB502" s="28"/>
      <c r="AC502" s="997"/>
      <c r="AD502" s="536"/>
    </row>
    <row r="503" spans="6:30" ht="10.5" customHeight="1">
      <c r="F503" s="347"/>
      <c r="G503" s="324"/>
      <c r="H503" s="324"/>
      <c r="I503" s="324"/>
      <c r="J503" s="324"/>
      <c r="K503" s="324"/>
      <c r="L503" s="324"/>
      <c r="M503" s="324"/>
      <c r="N503" s="324"/>
      <c r="O503" s="324"/>
      <c r="P503" s="586" t="s">
        <v>1640</v>
      </c>
      <c r="Q503" s="301"/>
      <c r="R503" s="177"/>
      <c r="S503" s="403"/>
      <c r="T503" s="525" t="s">
        <v>180</v>
      </c>
      <c r="U503" s="525" t="s">
        <v>2601</v>
      </c>
      <c r="AA503" s="28"/>
      <c r="AB503" s="28"/>
      <c r="AC503" s="997"/>
      <c r="AD503" s="536"/>
    </row>
    <row r="504" spans="6:30" ht="10.5" customHeight="1">
      <c r="F504" s="347"/>
      <c r="G504" s="324"/>
      <c r="H504" s="324"/>
      <c r="I504" s="324"/>
      <c r="J504" s="324"/>
      <c r="K504" s="324"/>
      <c r="L504" s="324"/>
      <c r="M504" s="324"/>
      <c r="N504" s="324"/>
      <c r="O504" s="324"/>
      <c r="P504" s="586" t="s">
        <v>2340</v>
      </c>
      <c r="Q504" s="301"/>
      <c r="R504" s="177"/>
      <c r="S504" s="403"/>
      <c r="T504" s="525" t="s">
        <v>1585</v>
      </c>
      <c r="U504" s="525" t="s">
        <v>2199</v>
      </c>
      <c r="AA504" s="28"/>
      <c r="AB504" s="28"/>
      <c r="AC504" s="997"/>
      <c r="AD504" s="536"/>
    </row>
    <row r="505" spans="6:30" ht="10.5" customHeight="1">
      <c r="F505" s="347"/>
      <c r="G505" s="324"/>
      <c r="H505" s="324"/>
      <c r="I505" s="324"/>
      <c r="J505" s="324"/>
      <c r="K505" s="324"/>
      <c r="L505" s="324"/>
      <c r="M505" s="324"/>
      <c r="N505" s="324"/>
      <c r="O505" s="324"/>
      <c r="P505" s="586" t="s">
        <v>485</v>
      </c>
      <c r="Q505" s="301"/>
      <c r="R505" s="177"/>
      <c r="S505" s="403"/>
      <c r="T505" s="525" t="s">
        <v>1587</v>
      </c>
      <c r="U505" s="525" t="s">
        <v>1893</v>
      </c>
      <c r="AA505" s="28"/>
      <c r="AB505" s="28"/>
      <c r="AC505" s="997"/>
      <c r="AD505" s="536"/>
    </row>
    <row r="506" spans="6:30" ht="10.5" customHeight="1">
      <c r="F506" s="347"/>
      <c r="G506" s="324"/>
      <c r="H506" s="324"/>
      <c r="I506" s="324"/>
      <c r="J506" s="324"/>
      <c r="K506" s="324"/>
      <c r="L506" s="324"/>
      <c r="M506" s="324"/>
      <c r="N506" s="324"/>
      <c r="O506" s="324"/>
      <c r="P506" s="586" t="s">
        <v>1313</v>
      </c>
      <c r="Q506" s="301"/>
      <c r="R506" s="177"/>
      <c r="S506" s="403"/>
      <c r="T506" s="525" t="s">
        <v>1590</v>
      </c>
      <c r="U506" s="525" t="s">
        <v>2606</v>
      </c>
      <c r="AA506" s="28"/>
      <c r="AB506" s="28"/>
      <c r="AC506" s="997"/>
      <c r="AD506" s="536"/>
    </row>
    <row r="507" spans="6:30" ht="10.5" customHeight="1">
      <c r="F507" s="347"/>
      <c r="G507" s="324"/>
      <c r="H507" s="324"/>
      <c r="I507" s="324"/>
      <c r="J507" s="324"/>
      <c r="K507" s="324"/>
      <c r="L507" s="324"/>
      <c r="M507" s="324"/>
      <c r="N507" s="324"/>
      <c r="O507" s="324"/>
      <c r="P507" s="586" t="s">
        <v>653</v>
      </c>
      <c r="Q507" s="301"/>
      <c r="R507" s="177"/>
      <c r="S507" s="403"/>
      <c r="T507" s="525" t="s">
        <v>379</v>
      </c>
      <c r="U507" s="525" t="s">
        <v>2502</v>
      </c>
      <c r="AA507" s="28"/>
      <c r="AB507" s="28"/>
      <c r="AC507" s="997"/>
      <c r="AD507" s="536"/>
    </row>
    <row r="508" spans="6:30" ht="10.5" customHeight="1">
      <c r="F508" s="347"/>
      <c r="G508" s="324"/>
      <c r="H508" s="324"/>
      <c r="I508" s="324"/>
      <c r="J508" s="324"/>
      <c r="K508" s="324"/>
      <c r="L508" s="324"/>
      <c r="M508" s="324"/>
      <c r="N508" s="324"/>
      <c r="O508" s="324"/>
      <c r="P508" s="586" t="s">
        <v>693</v>
      </c>
      <c r="Q508" s="301"/>
      <c r="R508" s="177"/>
      <c r="S508" s="403"/>
      <c r="T508" s="588" t="s">
        <v>381</v>
      </c>
      <c r="U508" s="525" t="s">
        <v>1332</v>
      </c>
      <c r="AA508" s="28"/>
      <c r="AB508" s="28"/>
      <c r="AC508" s="997"/>
      <c r="AD508" s="536"/>
    </row>
    <row r="509" spans="6:30" ht="10.5" customHeight="1">
      <c r="F509" s="347"/>
      <c r="G509" s="324"/>
      <c r="H509" s="324"/>
      <c r="I509" s="324"/>
      <c r="J509" s="324"/>
      <c r="K509" s="324"/>
      <c r="L509" s="324"/>
      <c r="M509" s="324"/>
      <c r="N509" s="324"/>
      <c r="O509" s="324"/>
      <c r="P509" s="586" t="s">
        <v>694</v>
      </c>
      <c r="Q509" s="301"/>
      <c r="R509" s="177"/>
      <c r="S509" s="403"/>
      <c r="T509" s="588" t="s">
        <v>249</v>
      </c>
      <c r="U509" s="525" t="s">
        <v>2189</v>
      </c>
      <c r="AA509" s="28"/>
      <c r="AB509" s="28"/>
      <c r="AC509" s="998"/>
      <c r="AD509" s="536"/>
    </row>
    <row r="510" spans="6:30" ht="10.5" customHeight="1">
      <c r="F510" s="347"/>
      <c r="G510" s="324"/>
      <c r="H510" s="324"/>
      <c r="I510" s="324"/>
      <c r="J510" s="324"/>
      <c r="K510" s="324"/>
      <c r="L510" s="324"/>
      <c r="M510" s="324"/>
      <c r="N510" s="324"/>
      <c r="O510" s="324"/>
      <c r="P510" s="586" t="s">
        <v>527</v>
      </c>
      <c r="Q510" s="301"/>
      <c r="R510" s="177"/>
      <c r="S510" s="403"/>
      <c r="T510" s="525" t="s">
        <v>1619</v>
      </c>
      <c r="U510" s="525" t="s">
        <v>2545</v>
      </c>
      <c r="AA510" s="28"/>
      <c r="AB510" s="28"/>
      <c r="AC510" s="998"/>
      <c r="AD510" s="536"/>
    </row>
    <row r="511" spans="6:30" ht="10.5" customHeight="1">
      <c r="F511" s="347"/>
      <c r="G511" s="324"/>
      <c r="H511" s="324"/>
      <c r="I511" s="324"/>
      <c r="J511" s="324"/>
      <c r="K511" s="324"/>
      <c r="L511" s="324"/>
      <c r="M511" s="324"/>
      <c r="N511" s="324"/>
      <c r="O511" s="324"/>
      <c r="P511" s="586" t="s">
        <v>529</v>
      </c>
      <c r="Q511" s="301"/>
      <c r="R511" s="177"/>
      <c r="S511" s="403"/>
      <c r="T511" s="525" t="s">
        <v>2883</v>
      </c>
      <c r="U511" s="525" t="s">
        <v>330</v>
      </c>
      <c r="AA511" s="28"/>
      <c r="AB511" s="28"/>
      <c r="AC511" s="997"/>
      <c r="AD511" s="536"/>
    </row>
    <row r="512" spans="6:30" ht="10.5" customHeight="1">
      <c r="F512" s="347"/>
      <c r="G512" s="324"/>
      <c r="H512" s="324"/>
      <c r="I512" s="324"/>
      <c r="J512" s="324"/>
      <c r="K512" s="324"/>
      <c r="L512" s="324"/>
      <c r="M512" s="324"/>
      <c r="N512" s="324"/>
      <c r="O512" s="324"/>
      <c r="P512" s="586" t="s">
        <v>531</v>
      </c>
      <c r="Q512" s="301"/>
      <c r="R512" s="177"/>
      <c r="S512" s="403"/>
      <c r="T512" s="525" t="s">
        <v>1096</v>
      </c>
      <c r="U512" s="525" t="s">
        <v>2608</v>
      </c>
      <c r="AA512" s="28"/>
      <c r="AB512" s="28"/>
      <c r="AC512" s="997"/>
      <c r="AD512" s="536"/>
    </row>
    <row r="513" spans="6:30" ht="10.5" customHeight="1">
      <c r="F513" s="347"/>
      <c r="G513" s="324"/>
      <c r="H513" s="324"/>
      <c r="I513" s="324"/>
      <c r="J513" s="324"/>
      <c r="K513" s="324"/>
      <c r="L513" s="324"/>
      <c r="M513" s="324"/>
      <c r="N513" s="324"/>
      <c r="O513" s="324"/>
      <c r="P513" s="586" t="s">
        <v>533</v>
      </c>
      <c r="Q513" s="301"/>
      <c r="R513" s="177"/>
      <c r="S513" s="403"/>
      <c r="T513" s="525" t="s">
        <v>1098</v>
      </c>
      <c r="U513" s="525" t="s">
        <v>1322</v>
      </c>
      <c r="AA513" s="28"/>
      <c r="AB513" s="28"/>
      <c r="AC513" s="997"/>
      <c r="AD513" s="536"/>
    </row>
    <row r="514" spans="6:30" ht="10.5" customHeight="1">
      <c r="F514" s="347"/>
      <c r="G514" s="324"/>
      <c r="H514" s="324"/>
      <c r="I514" s="324"/>
      <c r="J514" s="324"/>
      <c r="K514" s="324"/>
      <c r="L514" s="324"/>
      <c r="M514" s="324"/>
      <c r="N514" s="324"/>
      <c r="O514" s="324"/>
      <c r="P514" s="586" t="s">
        <v>546</v>
      </c>
      <c r="Q514" s="301"/>
      <c r="R514" s="177"/>
      <c r="S514" s="403"/>
      <c r="T514" s="292" t="s">
        <v>1100</v>
      </c>
      <c r="U514" s="292" t="s">
        <v>661</v>
      </c>
      <c r="AA514" s="28"/>
      <c r="AB514" s="28"/>
      <c r="AC514" s="997"/>
      <c r="AD514" s="536"/>
    </row>
    <row r="515" spans="6:30" ht="10.5" customHeight="1">
      <c r="F515" s="347"/>
      <c r="G515" s="324"/>
      <c r="H515" s="324"/>
      <c r="I515" s="324"/>
      <c r="J515" s="324"/>
      <c r="K515" s="324"/>
      <c r="L515" s="324"/>
      <c r="M515" s="324"/>
      <c r="N515" s="324"/>
      <c r="O515" s="324"/>
      <c r="P515" s="586" t="s">
        <v>548</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86" t="s">
        <v>722</v>
      </c>
      <c r="Q516" s="301"/>
      <c r="R516" s="177"/>
      <c r="S516" s="403"/>
      <c r="T516" s="525" t="s">
        <v>262</v>
      </c>
      <c r="U516" s="525" t="s">
        <v>2415</v>
      </c>
      <c r="AA516" s="28"/>
      <c r="AB516" s="28"/>
      <c r="AC516" s="997"/>
      <c r="AD516" s="536"/>
    </row>
    <row r="517" spans="6:30" ht="10.5" customHeight="1">
      <c r="F517" s="347"/>
      <c r="G517" s="324"/>
      <c r="H517" s="324"/>
      <c r="I517" s="324"/>
      <c r="J517" s="324"/>
      <c r="K517" s="324"/>
      <c r="L517" s="324"/>
      <c r="M517" s="324"/>
      <c r="N517" s="324"/>
      <c r="O517" s="324"/>
      <c r="P517" s="586" t="s">
        <v>592</v>
      </c>
      <c r="Q517" s="301"/>
      <c r="R517" s="177"/>
      <c r="S517" s="403"/>
      <c r="T517" s="292" t="s">
        <v>1641</v>
      </c>
      <c r="U517" s="292" t="s">
        <v>880</v>
      </c>
      <c r="AA517" s="28"/>
      <c r="AB517" s="28"/>
      <c r="AC517" s="997"/>
      <c r="AD517" s="536"/>
    </row>
    <row r="518" spans="6:30" ht="10.5" customHeight="1">
      <c r="F518" s="347"/>
      <c r="G518" s="324"/>
      <c r="H518" s="324"/>
      <c r="I518" s="324"/>
      <c r="J518" s="324"/>
      <c r="K518" s="324"/>
      <c r="L518" s="324"/>
      <c r="M518" s="324"/>
      <c r="N518" s="324"/>
      <c r="O518" s="324"/>
      <c r="P518" s="586" t="s">
        <v>593</v>
      </c>
      <c r="Q518" s="301"/>
      <c r="R518" s="177"/>
      <c r="S518" s="403"/>
      <c r="T518" s="525" t="s">
        <v>2341</v>
      </c>
      <c r="U518" s="525" t="s">
        <v>1106</v>
      </c>
      <c r="AA518" s="28"/>
      <c r="AB518" s="28"/>
      <c r="AC518" s="536"/>
      <c r="AD518" s="536"/>
    </row>
    <row r="519" spans="6:30" ht="10.5" customHeight="1">
      <c r="F519" s="347"/>
      <c r="G519" s="324"/>
      <c r="H519" s="324"/>
      <c r="I519" s="324"/>
      <c r="J519" s="324"/>
      <c r="K519" s="324"/>
      <c r="L519" s="324"/>
      <c r="M519" s="324"/>
      <c r="N519" s="324"/>
      <c r="O519" s="324"/>
      <c r="P519" s="586" t="s">
        <v>2093</v>
      </c>
      <c r="Q519" s="301"/>
      <c r="R519" s="177"/>
      <c r="S519" s="403"/>
      <c r="T519" s="525" t="s">
        <v>486</v>
      </c>
      <c r="U519" s="525" t="s">
        <v>1679</v>
      </c>
      <c r="AA519" s="28"/>
      <c r="AB519" s="28"/>
      <c r="AC519" s="997"/>
      <c r="AD519" s="536"/>
    </row>
    <row r="520" spans="6:30" ht="10.5" customHeight="1">
      <c r="F520" s="347"/>
      <c r="G520" s="324"/>
      <c r="H520" s="324"/>
      <c r="I520" s="324"/>
      <c r="J520" s="324"/>
      <c r="K520" s="324"/>
      <c r="L520" s="324"/>
      <c r="M520" s="324"/>
      <c r="N520" s="324"/>
      <c r="O520" s="324"/>
      <c r="P520" s="586" t="s">
        <v>468</v>
      </c>
      <c r="Q520" s="301"/>
      <c r="R520" s="177"/>
      <c r="S520" s="403"/>
      <c r="T520" s="525" t="s">
        <v>2884</v>
      </c>
      <c r="U520" s="525" t="s">
        <v>2199</v>
      </c>
      <c r="AA520" s="28"/>
      <c r="AB520" s="28"/>
      <c r="AC520" s="997"/>
      <c r="AD520" s="536"/>
    </row>
    <row r="521" spans="6:30" ht="10.5" customHeight="1">
      <c r="F521" s="347"/>
      <c r="G521" s="324"/>
      <c r="H521" s="324"/>
      <c r="I521" s="324"/>
      <c r="J521" s="324"/>
      <c r="K521" s="324"/>
      <c r="L521" s="324"/>
      <c r="M521" s="324"/>
      <c r="N521" s="324"/>
      <c r="O521" s="324"/>
      <c r="P521" s="586" t="s">
        <v>469</v>
      </c>
      <c r="Q521" s="301"/>
      <c r="R521" s="177"/>
      <c r="S521" s="403"/>
      <c r="T521" s="525" t="s">
        <v>692</v>
      </c>
      <c r="U521" s="525" t="s">
        <v>163</v>
      </c>
      <c r="AA521" s="28"/>
      <c r="AB521" s="28"/>
      <c r="AC521" s="997"/>
      <c r="AD521" s="536"/>
    </row>
    <row r="522" spans="6:30" ht="10.5" customHeight="1">
      <c r="F522" s="347"/>
      <c r="G522" s="324"/>
      <c r="H522" s="324"/>
      <c r="I522" s="324"/>
      <c r="J522" s="324"/>
      <c r="K522" s="324"/>
      <c r="L522" s="324"/>
      <c r="M522" s="324"/>
      <c r="N522" s="324"/>
      <c r="O522" s="324"/>
      <c r="P522" s="586" t="s">
        <v>1276</v>
      </c>
      <c r="Q522" s="301"/>
      <c r="R522" s="177"/>
      <c r="S522" s="403"/>
      <c r="T522" s="525" t="s">
        <v>526</v>
      </c>
      <c r="U522" s="525" t="s">
        <v>739</v>
      </c>
      <c r="AA522" s="28"/>
      <c r="AB522" s="28"/>
      <c r="AC522" s="997"/>
      <c r="AD522" s="536"/>
    </row>
    <row r="523" spans="6:30" ht="10.5" customHeight="1">
      <c r="F523" s="347"/>
      <c r="G523" s="324"/>
      <c r="H523" s="324"/>
      <c r="I523" s="324"/>
      <c r="J523" s="324"/>
      <c r="K523" s="324"/>
      <c r="L523" s="324"/>
      <c r="M523" s="324"/>
      <c r="N523" s="324"/>
      <c r="O523" s="324"/>
      <c r="P523" s="586" t="s">
        <v>1003</v>
      </c>
      <c r="Q523" s="301"/>
      <c r="R523" s="177"/>
      <c r="S523" s="403"/>
      <c r="T523" s="525" t="s">
        <v>528</v>
      </c>
      <c r="U523" s="525" t="s">
        <v>1341</v>
      </c>
      <c r="AA523" s="28"/>
      <c r="AB523" s="28"/>
      <c r="AC523" s="997"/>
      <c r="AD523" s="536"/>
    </row>
    <row r="524" spans="6:30" ht="10.5" customHeight="1">
      <c r="F524" s="347"/>
      <c r="G524" s="324"/>
      <c r="H524" s="324"/>
      <c r="I524" s="324"/>
      <c r="J524" s="324"/>
      <c r="K524" s="324"/>
      <c r="L524" s="324"/>
      <c r="M524" s="324"/>
      <c r="N524" s="324"/>
      <c r="O524" s="324"/>
      <c r="P524" s="586" t="s">
        <v>1005</v>
      </c>
      <c r="Q524" s="301"/>
      <c r="R524" s="177"/>
      <c r="S524" s="403"/>
      <c r="T524" s="525" t="s">
        <v>530</v>
      </c>
      <c r="U524" s="525" t="s">
        <v>1468</v>
      </c>
      <c r="AA524" s="28"/>
      <c r="AB524" s="28"/>
      <c r="AC524" s="997"/>
      <c r="AD524" s="536"/>
    </row>
    <row r="525" spans="6:30" ht="10.5" customHeight="1">
      <c r="F525" s="347"/>
      <c r="G525" s="324"/>
      <c r="H525" s="324"/>
      <c r="I525" s="324"/>
      <c r="J525" s="324"/>
      <c r="K525" s="324"/>
      <c r="L525" s="324"/>
      <c r="M525" s="324"/>
      <c r="N525" s="324"/>
      <c r="O525" s="324"/>
      <c r="P525" s="586" t="s">
        <v>1006</v>
      </c>
      <c r="Q525" s="301"/>
      <c r="R525" s="177"/>
      <c r="S525" s="403"/>
      <c r="T525" s="525" t="s">
        <v>532</v>
      </c>
      <c r="U525" s="525" t="s">
        <v>880</v>
      </c>
      <c r="AA525" s="28"/>
      <c r="AB525" s="28"/>
      <c r="AC525" s="997"/>
      <c r="AD525" s="536"/>
    </row>
    <row r="526" spans="6:30" ht="10.5" customHeight="1">
      <c r="F526" s="347"/>
      <c r="G526" s="324"/>
      <c r="H526" s="324"/>
      <c r="I526" s="324"/>
      <c r="J526" s="324"/>
      <c r="K526" s="324"/>
      <c r="L526" s="324"/>
      <c r="M526" s="324"/>
      <c r="N526" s="324"/>
      <c r="O526" s="324"/>
      <c r="P526" s="586" t="s">
        <v>140</v>
      </c>
      <c r="Q526" s="301"/>
      <c r="R526" s="177"/>
      <c r="S526" s="403"/>
      <c r="T526" s="525" t="s">
        <v>534</v>
      </c>
      <c r="U526" s="525" t="s">
        <v>1796</v>
      </c>
      <c r="AA526" s="28"/>
      <c r="AB526" s="28"/>
      <c r="AC526" s="997"/>
      <c r="AD526" s="536"/>
    </row>
    <row r="527" spans="6:30" ht="10.5" customHeight="1">
      <c r="F527" s="347"/>
      <c r="G527" s="324"/>
      <c r="H527" s="324"/>
      <c r="I527" s="324"/>
      <c r="J527" s="324"/>
      <c r="K527" s="324"/>
      <c r="L527" s="324"/>
      <c r="M527" s="324"/>
      <c r="N527" s="324"/>
      <c r="O527" s="324"/>
      <c r="P527" s="586" t="s">
        <v>141</v>
      </c>
      <c r="Q527" s="301"/>
      <c r="R527" s="177"/>
      <c r="S527" s="403"/>
      <c r="T527" s="525" t="s">
        <v>547</v>
      </c>
      <c r="U527" s="525" t="s">
        <v>332</v>
      </c>
      <c r="AA527" s="28"/>
      <c r="AB527" s="28"/>
      <c r="AC527" s="997"/>
      <c r="AD527" s="536"/>
    </row>
    <row r="528" spans="6:30" ht="10.5" customHeight="1">
      <c r="F528" s="347"/>
      <c r="G528" s="324"/>
      <c r="H528" s="324"/>
      <c r="I528" s="324"/>
      <c r="J528" s="324"/>
      <c r="K528" s="324"/>
      <c r="L528" s="324"/>
      <c r="M528" s="324"/>
      <c r="N528" s="324"/>
      <c r="O528" s="324"/>
      <c r="P528" s="586" t="s">
        <v>143</v>
      </c>
      <c r="Q528" s="301"/>
      <c r="R528" s="177"/>
      <c r="S528" s="403"/>
      <c r="T528" s="525" t="s">
        <v>549</v>
      </c>
      <c r="U528" s="525" t="s">
        <v>431</v>
      </c>
      <c r="AA528" s="28"/>
      <c r="AB528" s="28"/>
      <c r="AC528" s="997"/>
      <c r="AD528" s="536"/>
    </row>
    <row r="529" spans="6:30" ht="10.5" customHeight="1">
      <c r="F529" s="347"/>
      <c r="G529" s="324"/>
      <c r="H529" s="324"/>
      <c r="I529" s="324"/>
      <c r="J529" s="324"/>
      <c r="K529" s="324"/>
      <c r="L529" s="324"/>
      <c r="M529" s="324"/>
      <c r="N529" s="324"/>
      <c r="O529" s="324"/>
      <c r="P529" s="586" t="s">
        <v>2611</v>
      </c>
      <c r="Q529" s="301"/>
      <c r="R529" s="177"/>
      <c r="S529" s="403"/>
      <c r="T529" s="292" t="s">
        <v>699</v>
      </c>
      <c r="U529" s="292" t="s">
        <v>1218</v>
      </c>
      <c r="AA529" s="28"/>
      <c r="AB529" s="28"/>
      <c r="AC529" s="997"/>
      <c r="AD529" s="536"/>
    </row>
    <row r="530" spans="6:30" ht="10.5" customHeight="1">
      <c r="F530" s="347"/>
      <c r="G530" s="324"/>
      <c r="H530" s="324"/>
      <c r="I530" s="324"/>
      <c r="J530" s="324"/>
      <c r="K530" s="324"/>
      <c r="L530" s="324"/>
      <c r="M530" s="324"/>
      <c r="N530" s="324"/>
      <c r="O530" s="324"/>
      <c r="P530" s="586" t="s">
        <v>2110</v>
      </c>
      <c r="Q530" s="301"/>
      <c r="R530" s="177"/>
      <c r="S530" s="403"/>
      <c r="T530" s="525" t="s">
        <v>837</v>
      </c>
      <c r="U530" s="525" t="s">
        <v>661</v>
      </c>
      <c r="AA530" s="28"/>
      <c r="AB530" s="28"/>
      <c r="AC530" s="536"/>
      <c r="AD530" s="536"/>
    </row>
    <row r="531" spans="6:30" ht="10.5" customHeight="1">
      <c r="F531" s="347"/>
      <c r="G531" s="324"/>
      <c r="H531" s="324"/>
      <c r="I531" s="324"/>
      <c r="J531" s="324"/>
      <c r="K531" s="324"/>
      <c r="L531" s="324"/>
      <c r="M531" s="324"/>
      <c r="N531" s="324"/>
      <c r="O531" s="324"/>
      <c r="P531" s="586" t="s">
        <v>2112</v>
      </c>
      <c r="Q531" s="301"/>
      <c r="R531" s="177"/>
      <c r="S531" s="403"/>
      <c r="T531" s="525" t="s">
        <v>1646</v>
      </c>
      <c r="U531" s="525" t="s">
        <v>670</v>
      </c>
      <c r="AA531" s="28"/>
      <c r="AB531" s="28"/>
      <c r="AC531" s="997"/>
      <c r="AD531" s="536"/>
    </row>
    <row r="532" spans="6:30" ht="10.5" customHeight="1">
      <c r="F532" s="347"/>
      <c r="G532" s="324"/>
      <c r="H532" s="324"/>
      <c r="I532" s="324"/>
      <c r="J532" s="324"/>
      <c r="K532" s="324"/>
      <c r="L532" s="324"/>
      <c r="M532" s="324"/>
      <c r="N532" s="324"/>
      <c r="O532" s="324"/>
      <c r="P532" s="586" t="s">
        <v>594</v>
      </c>
      <c r="Q532" s="301"/>
      <c r="R532" s="177"/>
      <c r="S532" s="403"/>
      <c r="T532" s="525" t="s">
        <v>2094</v>
      </c>
      <c r="U532" s="525" t="s">
        <v>1106</v>
      </c>
      <c r="AA532" s="28"/>
      <c r="AB532" s="28"/>
      <c r="AC532" s="997"/>
      <c r="AD532" s="536"/>
    </row>
    <row r="533" spans="6:30" ht="10.5" customHeight="1">
      <c r="F533" s="347"/>
      <c r="G533" s="324"/>
      <c r="H533" s="324"/>
      <c r="I533" s="324"/>
      <c r="J533" s="324"/>
      <c r="K533" s="324"/>
      <c r="L533" s="324"/>
      <c r="M533" s="324"/>
      <c r="N533" s="324"/>
      <c r="O533" s="324"/>
      <c r="P533" s="586" t="s">
        <v>2358</v>
      </c>
      <c r="Q533" s="301"/>
      <c r="R533" s="177"/>
      <c r="S533" s="403"/>
      <c r="T533" s="525" t="s">
        <v>1648</v>
      </c>
      <c r="U533" s="525" t="s">
        <v>2024</v>
      </c>
      <c r="AA533" s="28"/>
      <c r="AB533" s="28"/>
      <c r="AC533" s="997"/>
      <c r="AD533" s="536"/>
    </row>
    <row r="534" spans="6:30" ht="10.5" customHeight="1">
      <c r="F534" s="347"/>
      <c r="G534" s="324"/>
      <c r="H534" s="324"/>
      <c r="I534" s="324"/>
      <c r="J534" s="324"/>
      <c r="K534" s="324"/>
      <c r="L534" s="324"/>
      <c r="M534" s="324"/>
      <c r="N534" s="324"/>
      <c r="O534" s="324"/>
      <c r="P534" s="586" t="s">
        <v>710</v>
      </c>
      <c r="Q534" s="301"/>
      <c r="R534" s="177"/>
      <c r="S534" s="403"/>
      <c r="T534" s="525" t="s">
        <v>470</v>
      </c>
      <c r="U534" s="525" t="s">
        <v>1332</v>
      </c>
      <c r="AA534" s="28"/>
      <c r="AB534" s="28"/>
      <c r="AC534" s="997"/>
      <c r="AD534" s="536"/>
    </row>
    <row r="535" spans="6:30" ht="10.5" customHeight="1">
      <c r="F535" s="347"/>
      <c r="G535" s="324"/>
      <c r="H535" s="324"/>
      <c r="I535" s="324"/>
      <c r="J535" s="324"/>
      <c r="K535" s="324"/>
      <c r="L535" s="324"/>
      <c r="M535" s="324"/>
      <c r="N535" s="324"/>
      <c r="O535" s="324"/>
      <c r="P535" s="586" t="s">
        <v>712</v>
      </c>
      <c r="Q535" s="301"/>
      <c r="R535" s="177"/>
      <c r="S535" s="403"/>
      <c r="T535" s="525" t="s">
        <v>185</v>
      </c>
      <c r="U535" s="525" t="s">
        <v>160</v>
      </c>
      <c r="AA535" s="28"/>
      <c r="AB535" s="28"/>
      <c r="AC535" s="997"/>
      <c r="AD535" s="536"/>
    </row>
    <row r="536" spans="6:30" ht="10.5" customHeight="1">
      <c r="F536" s="347"/>
      <c r="G536" s="324"/>
      <c r="H536" s="324"/>
      <c r="I536" s="324"/>
      <c r="J536" s="324"/>
      <c r="K536" s="324"/>
      <c r="L536" s="324"/>
      <c r="M536" s="324"/>
      <c r="N536" s="324"/>
      <c r="O536" s="324"/>
      <c r="P536" s="586" t="s">
        <v>2300</v>
      </c>
      <c r="Q536" s="301"/>
      <c r="R536" s="177"/>
      <c r="S536" s="403"/>
      <c r="T536" s="525" t="s">
        <v>1277</v>
      </c>
      <c r="U536" s="525" t="s">
        <v>327</v>
      </c>
      <c r="AA536" s="28"/>
      <c r="AB536" s="28"/>
      <c r="AC536" s="997"/>
      <c r="AD536" s="536"/>
    </row>
    <row r="537" spans="6:30" ht="10.5" customHeight="1">
      <c r="F537" s="347"/>
      <c r="G537" s="324"/>
      <c r="H537" s="324"/>
      <c r="I537" s="324"/>
      <c r="J537" s="324"/>
      <c r="K537" s="324"/>
      <c r="L537" s="324"/>
      <c r="M537" s="324"/>
      <c r="N537" s="324"/>
      <c r="O537" s="324"/>
      <c r="P537" s="586" t="s">
        <v>43</v>
      </c>
      <c r="Q537" s="301"/>
      <c r="R537" s="177"/>
      <c r="S537" s="403"/>
      <c r="T537" s="525" t="s">
        <v>1004</v>
      </c>
      <c r="U537" s="525" t="s">
        <v>1465</v>
      </c>
      <c r="AA537" s="28"/>
      <c r="AB537" s="28"/>
      <c r="AC537" s="997"/>
      <c r="AD537" s="536"/>
    </row>
    <row r="538" spans="6:30" ht="10.5" customHeight="1">
      <c r="F538" s="347"/>
      <c r="G538" s="324"/>
      <c r="H538" s="324"/>
      <c r="I538" s="324"/>
      <c r="J538" s="324"/>
      <c r="K538" s="324"/>
      <c r="L538" s="324"/>
      <c r="M538" s="324"/>
      <c r="N538" s="324"/>
      <c r="O538" s="324"/>
      <c r="P538" s="586" t="s">
        <v>44</v>
      </c>
      <c r="Q538" s="301"/>
      <c r="R538" s="177"/>
      <c r="S538" s="403"/>
      <c r="T538" s="525" t="s">
        <v>1069</v>
      </c>
      <c r="U538" s="525" t="s">
        <v>176</v>
      </c>
      <c r="AA538" s="28"/>
      <c r="AB538" s="28"/>
      <c r="AC538" s="997"/>
      <c r="AD538" s="536"/>
    </row>
    <row r="539" spans="6:30" ht="10.5" customHeight="1">
      <c r="F539" s="347"/>
      <c r="G539" s="324"/>
      <c r="H539" s="324"/>
      <c r="I539" s="324"/>
      <c r="J539" s="324"/>
      <c r="K539" s="324"/>
      <c r="L539" s="324"/>
      <c r="M539" s="324"/>
      <c r="N539" s="324"/>
      <c r="O539" s="324"/>
      <c r="P539" s="586" t="s">
        <v>2263</v>
      </c>
      <c r="Q539" s="301"/>
      <c r="R539" s="177"/>
      <c r="S539" s="403"/>
      <c r="T539" s="525" t="s">
        <v>139</v>
      </c>
      <c r="U539" s="525" t="s">
        <v>2548</v>
      </c>
      <c r="AA539" s="28"/>
      <c r="AB539" s="28"/>
      <c r="AC539" s="997"/>
      <c r="AD539" s="536"/>
    </row>
    <row r="540" spans="6:30" ht="10.5" customHeight="1">
      <c r="F540" s="347"/>
      <c r="G540" s="324"/>
      <c r="H540" s="324"/>
      <c r="I540" s="324"/>
      <c r="J540" s="324"/>
      <c r="K540" s="324"/>
      <c r="L540" s="324"/>
      <c r="M540" s="324"/>
      <c r="N540" s="324"/>
      <c r="O540" s="324"/>
      <c r="P540" s="586" t="s">
        <v>2291</v>
      </c>
      <c r="Q540" s="301"/>
      <c r="R540" s="177"/>
      <c r="S540" s="403"/>
      <c r="T540" s="525" t="s">
        <v>2601</v>
      </c>
      <c r="U540" s="525" t="s">
        <v>1344</v>
      </c>
      <c r="AA540" s="28"/>
      <c r="AB540" s="28"/>
      <c r="AC540" s="997"/>
      <c r="AD540" s="536"/>
    </row>
    <row r="541" spans="6:30" ht="10.5" customHeight="1">
      <c r="F541" s="347"/>
      <c r="G541" s="324"/>
      <c r="H541" s="324"/>
      <c r="I541" s="324"/>
      <c r="J541" s="324"/>
      <c r="K541" s="324"/>
      <c r="L541" s="324"/>
      <c r="M541" s="324"/>
      <c r="N541" s="324"/>
      <c r="O541" s="324"/>
      <c r="P541" s="586" t="s">
        <v>395</v>
      </c>
      <c r="Q541" s="301"/>
      <c r="R541" s="177"/>
      <c r="S541" s="403"/>
      <c r="T541" s="525" t="s">
        <v>142</v>
      </c>
      <c r="U541" s="525" t="s">
        <v>661</v>
      </c>
      <c r="AA541" s="28"/>
      <c r="AB541" s="28"/>
      <c r="AC541" s="997"/>
      <c r="AD541" s="536"/>
    </row>
    <row r="542" spans="6:30" ht="10.5" customHeight="1">
      <c r="F542" s="347"/>
      <c r="G542" s="324"/>
      <c r="H542" s="324"/>
      <c r="I542" s="324"/>
      <c r="J542" s="324"/>
      <c r="K542" s="324"/>
      <c r="L542" s="324"/>
      <c r="M542" s="324"/>
      <c r="N542" s="324"/>
      <c r="O542" s="324"/>
      <c r="P542" s="586" t="s">
        <v>397</v>
      </c>
      <c r="Q542" s="301"/>
      <c r="R542" s="177"/>
      <c r="S542" s="403"/>
      <c r="T542" s="292" t="s">
        <v>144</v>
      </c>
      <c r="U542" s="292" t="s">
        <v>2499</v>
      </c>
      <c r="AA542" s="28"/>
      <c r="AB542" s="28"/>
      <c r="AC542" s="997"/>
      <c r="AD542" s="536"/>
    </row>
    <row r="543" spans="6:30" ht="10.5" customHeight="1">
      <c r="F543" s="347"/>
      <c r="G543" s="324"/>
      <c r="H543" s="324"/>
      <c r="I543" s="324"/>
      <c r="J543" s="324"/>
      <c r="K543" s="324"/>
      <c r="L543" s="324"/>
      <c r="M543" s="324"/>
      <c r="N543" s="324"/>
      <c r="O543" s="324"/>
      <c r="P543" s="586" t="s">
        <v>399</v>
      </c>
      <c r="Q543" s="301"/>
      <c r="R543" s="177"/>
      <c r="S543" s="403"/>
      <c r="T543" s="292" t="s">
        <v>2612</v>
      </c>
      <c r="U543" s="292" t="s">
        <v>1336</v>
      </c>
      <c r="AA543" s="28"/>
      <c r="AB543" s="28"/>
      <c r="AC543" s="536"/>
      <c r="AD543" s="536"/>
    </row>
    <row r="544" spans="6:30" ht="10.5" customHeight="1">
      <c r="F544" s="347"/>
      <c r="G544" s="324"/>
      <c r="H544" s="324"/>
      <c r="I544" s="324"/>
      <c r="J544" s="324"/>
      <c r="K544" s="324"/>
      <c r="L544" s="324"/>
      <c r="M544" s="324"/>
      <c r="N544" s="324"/>
      <c r="O544" s="324"/>
      <c r="P544" s="586" t="s">
        <v>401</v>
      </c>
      <c r="Q544" s="301"/>
      <c r="R544" s="177"/>
      <c r="S544" s="403"/>
      <c r="T544" s="292" t="s">
        <v>2111</v>
      </c>
      <c r="U544" s="292" t="s">
        <v>2505</v>
      </c>
      <c r="AA544" s="28"/>
      <c r="AB544" s="28"/>
      <c r="AC544" s="536"/>
      <c r="AD544" s="536"/>
    </row>
    <row r="545" spans="6:30" ht="10.5" customHeight="1">
      <c r="F545" s="347"/>
      <c r="G545" s="324"/>
      <c r="H545" s="324"/>
      <c r="I545" s="324"/>
      <c r="J545" s="324"/>
      <c r="K545" s="324"/>
      <c r="L545" s="324"/>
      <c r="M545" s="324"/>
      <c r="N545" s="324"/>
      <c r="O545" s="324"/>
      <c r="P545" s="586" t="s">
        <v>1595</v>
      </c>
      <c r="Q545" s="301"/>
      <c r="R545" s="177"/>
      <c r="S545" s="403"/>
      <c r="T545" s="525" t="s">
        <v>762</v>
      </c>
      <c r="U545" s="525" t="s">
        <v>123</v>
      </c>
      <c r="AA545" s="28"/>
      <c r="AB545" s="28"/>
      <c r="AC545" s="536"/>
      <c r="AD545" s="536"/>
    </row>
    <row r="546" spans="6:30" ht="10.5" customHeight="1">
      <c r="F546" s="347"/>
      <c r="G546" s="324"/>
      <c r="H546" s="324"/>
      <c r="I546" s="324"/>
      <c r="J546" s="324"/>
      <c r="K546" s="324"/>
      <c r="L546" s="324"/>
      <c r="M546" s="324"/>
      <c r="N546" s="324"/>
      <c r="O546" s="324"/>
      <c r="P546" s="586" t="s">
        <v>1597</v>
      </c>
      <c r="Q546" s="301"/>
      <c r="R546" s="177"/>
      <c r="S546" s="403"/>
      <c r="T546" s="525" t="s">
        <v>763</v>
      </c>
      <c r="U546" s="525" t="s">
        <v>185</v>
      </c>
      <c r="AA546" s="28"/>
      <c r="AB546" s="28"/>
      <c r="AC546" s="997"/>
      <c r="AD546" s="536"/>
    </row>
    <row r="547" spans="6:30" ht="10.5" customHeight="1">
      <c r="F547" s="347"/>
      <c r="G547" s="324"/>
      <c r="H547" s="324"/>
      <c r="I547" s="324"/>
      <c r="J547" s="324"/>
      <c r="K547" s="324"/>
      <c r="L547" s="324"/>
      <c r="M547" s="324"/>
      <c r="N547" s="324"/>
      <c r="O547" s="324"/>
      <c r="P547" s="586" t="s">
        <v>1599</v>
      </c>
      <c r="Q547" s="301"/>
      <c r="R547" s="177"/>
      <c r="S547" s="403"/>
      <c r="T547" s="525" t="s">
        <v>711</v>
      </c>
      <c r="U547" s="525" t="s">
        <v>741</v>
      </c>
      <c r="AA547" s="28"/>
      <c r="AB547" s="28"/>
      <c r="AC547" s="997"/>
      <c r="AD547" s="536"/>
    </row>
    <row r="548" spans="6:30" ht="10.5" customHeight="1">
      <c r="F548" s="347"/>
      <c r="G548" s="324"/>
      <c r="H548" s="324"/>
      <c r="I548" s="324"/>
      <c r="J548" s="324"/>
      <c r="K548" s="324"/>
      <c r="L548" s="324"/>
      <c r="M548" s="324"/>
      <c r="N548" s="324"/>
      <c r="O548" s="324"/>
      <c r="P548" s="586" t="s">
        <v>2610</v>
      </c>
      <c r="Q548" s="301"/>
      <c r="R548" s="177"/>
      <c r="S548" s="403"/>
      <c r="T548" s="525" t="s">
        <v>713</v>
      </c>
      <c r="U548" s="525" t="s">
        <v>1115</v>
      </c>
      <c r="AA548" s="28"/>
      <c r="AB548" s="28"/>
      <c r="AC548" s="997"/>
      <c r="AD548" s="536"/>
    </row>
    <row r="549" spans="6:30" ht="10.5" customHeight="1">
      <c r="F549" s="347"/>
      <c r="G549" s="324"/>
      <c r="H549" s="324"/>
      <c r="I549" s="324"/>
      <c r="J549" s="324"/>
      <c r="K549" s="324"/>
      <c r="L549" s="324"/>
      <c r="M549" s="324"/>
      <c r="N549" s="324"/>
      <c r="O549" s="324"/>
      <c r="P549" s="586" t="s">
        <v>2470</v>
      </c>
      <c r="Q549" s="301"/>
      <c r="R549" s="177"/>
      <c r="S549" s="403"/>
      <c r="T549" s="525" t="s">
        <v>2301</v>
      </c>
      <c r="U549" s="525" t="s">
        <v>1218</v>
      </c>
      <c r="AA549" s="28"/>
      <c r="AB549" s="28"/>
      <c r="AC549" s="997"/>
      <c r="AD549" s="536"/>
    </row>
    <row r="550" spans="6:30" ht="10.5" customHeight="1">
      <c r="F550" s="347"/>
      <c r="G550" s="324"/>
      <c r="H550" s="324"/>
      <c r="I550" s="324"/>
      <c r="J550" s="324"/>
      <c r="K550" s="324"/>
      <c r="L550" s="324"/>
      <c r="M550" s="324"/>
      <c r="N550" s="324"/>
      <c r="O550" s="324"/>
      <c r="P550" s="586" t="s">
        <v>1842</v>
      </c>
      <c r="Q550" s="301"/>
      <c r="R550" s="177"/>
      <c r="S550" s="403"/>
      <c r="T550" s="525" t="s">
        <v>2301</v>
      </c>
      <c r="U550" s="525" t="s">
        <v>1218</v>
      </c>
      <c r="AA550" s="28"/>
      <c r="AB550" s="28"/>
      <c r="AC550" s="997"/>
      <c r="AD550" s="536"/>
    </row>
    <row r="551" spans="6:30" ht="10.5" customHeight="1">
      <c r="F551" s="347"/>
      <c r="G551" s="324"/>
      <c r="H551" s="324"/>
      <c r="I551" s="324"/>
      <c r="J551" s="324"/>
      <c r="K551" s="324"/>
      <c r="L551" s="324"/>
      <c r="M551" s="324"/>
      <c r="N551" s="324"/>
      <c r="O551" s="324"/>
      <c r="P551" s="586" t="s">
        <v>1844</v>
      </c>
      <c r="Q551" s="301"/>
      <c r="R551" s="177"/>
      <c r="S551" s="403"/>
      <c r="T551" s="525" t="s">
        <v>45</v>
      </c>
      <c r="U551" s="525" t="s">
        <v>1335</v>
      </c>
      <c r="AA551" s="28"/>
      <c r="AB551" s="28"/>
      <c r="AC551" s="997"/>
      <c r="AD551" s="536"/>
    </row>
    <row r="552" spans="6:30" ht="10.5" customHeight="1">
      <c r="F552" s="347"/>
      <c r="G552" s="324"/>
      <c r="H552" s="324"/>
      <c r="I552" s="324"/>
      <c r="J552" s="324"/>
      <c r="K552" s="324"/>
      <c r="L552" s="324"/>
      <c r="M552" s="324"/>
      <c r="N552" s="324"/>
      <c r="O552" s="324"/>
      <c r="P552" s="586" t="s">
        <v>1846</v>
      </c>
      <c r="Q552" s="301"/>
      <c r="R552" s="177"/>
      <c r="S552" s="403"/>
      <c r="T552" s="525" t="s">
        <v>2264</v>
      </c>
      <c r="U552" s="525" t="s">
        <v>1329</v>
      </c>
      <c r="AA552" s="28"/>
      <c r="AB552" s="28"/>
      <c r="AC552" s="997"/>
      <c r="AD552" s="536"/>
    </row>
    <row r="553" spans="6:30" ht="10.5" customHeight="1">
      <c r="F553" s="347"/>
      <c r="G553" s="324"/>
      <c r="H553" s="324"/>
      <c r="I553" s="324"/>
      <c r="J553" s="324"/>
      <c r="K553" s="324"/>
      <c r="L553" s="324"/>
      <c r="M553" s="324"/>
      <c r="N553" s="324"/>
      <c r="O553" s="324"/>
      <c r="P553" s="586" t="s">
        <v>1847</v>
      </c>
      <c r="Q553" s="301"/>
      <c r="R553" s="177"/>
      <c r="S553" s="403"/>
      <c r="T553" s="525" t="s">
        <v>838</v>
      </c>
      <c r="U553" s="525" t="s">
        <v>176</v>
      </c>
      <c r="AA553" s="28"/>
      <c r="AB553" s="28"/>
      <c r="AC553" s="997"/>
      <c r="AD553" s="536"/>
    </row>
    <row r="554" spans="6:30" ht="10.5" customHeight="1">
      <c r="F554" s="347"/>
      <c r="G554" s="324"/>
      <c r="H554" s="324"/>
      <c r="I554" s="324"/>
      <c r="J554" s="324"/>
      <c r="K554" s="324"/>
      <c r="L554" s="324"/>
      <c r="M554" s="324"/>
      <c r="N554" s="324"/>
      <c r="O554" s="324"/>
      <c r="P554" s="586" t="s">
        <v>1849</v>
      </c>
      <c r="Q554" s="301"/>
      <c r="R554" s="177"/>
      <c r="S554" s="403"/>
      <c r="T554" s="525" t="s">
        <v>1040</v>
      </c>
      <c r="U554" s="525" t="s">
        <v>1103</v>
      </c>
      <c r="AA554" s="28"/>
      <c r="AB554" s="28"/>
      <c r="AC554" s="997"/>
      <c r="AD554" s="536"/>
    </row>
    <row r="555" spans="6:30" ht="10.5" customHeight="1">
      <c r="F555" s="347"/>
      <c r="G555" s="324"/>
      <c r="H555" s="324"/>
      <c r="I555" s="324"/>
      <c r="J555" s="324"/>
      <c r="K555" s="324"/>
      <c r="L555" s="324"/>
      <c r="M555" s="324"/>
      <c r="N555" s="324"/>
      <c r="O555" s="324"/>
      <c r="P555" s="586" t="s">
        <v>1851</v>
      </c>
      <c r="Q555" s="301"/>
      <c r="R555" s="177"/>
      <c r="S555" s="403"/>
      <c r="T555" s="525" t="s">
        <v>396</v>
      </c>
      <c r="U555" s="525" t="s">
        <v>2606</v>
      </c>
      <c r="AA555" s="28"/>
      <c r="AB555" s="28"/>
      <c r="AC555" s="997"/>
      <c r="AD555" s="536"/>
    </row>
    <row r="556" spans="6:30" ht="10.5" customHeight="1">
      <c r="F556" s="347"/>
      <c r="G556" s="324"/>
      <c r="H556" s="324"/>
      <c r="I556" s="324"/>
      <c r="J556" s="324"/>
      <c r="K556" s="324"/>
      <c r="L556" s="324"/>
      <c r="M556" s="324"/>
      <c r="N556" s="324"/>
      <c r="O556" s="324"/>
      <c r="P556" s="586" t="s">
        <v>1853</v>
      </c>
      <c r="Q556" s="301"/>
      <c r="R556" s="177"/>
      <c r="S556" s="403"/>
      <c r="T556" s="525" t="s">
        <v>398</v>
      </c>
      <c r="U556" s="525" t="s">
        <v>2184</v>
      </c>
      <c r="AA556" s="28"/>
      <c r="AB556" s="28"/>
      <c r="AC556" s="997"/>
      <c r="AD556" s="536"/>
    </row>
    <row r="557" spans="6:30" ht="10.5" customHeight="1">
      <c r="F557" s="347"/>
      <c r="G557" s="324"/>
      <c r="H557" s="324"/>
      <c r="I557" s="324"/>
      <c r="J557" s="324"/>
      <c r="K557" s="324"/>
      <c r="L557" s="324"/>
      <c r="M557" s="324"/>
      <c r="N557" s="324"/>
      <c r="O557" s="324"/>
      <c r="P557" s="586" t="s">
        <v>1855</v>
      </c>
      <c r="Q557" s="301"/>
      <c r="R557" s="177"/>
      <c r="S557" s="403"/>
      <c r="T557" s="525" t="s">
        <v>400</v>
      </c>
      <c r="U557" s="525" t="s">
        <v>2548</v>
      </c>
      <c r="AA557" s="28"/>
      <c r="AB557" s="28"/>
      <c r="AC557" s="997"/>
      <c r="AD557" s="536"/>
    </row>
    <row r="558" spans="6:30" ht="10.5" customHeight="1">
      <c r="F558" s="347"/>
      <c r="G558" s="324"/>
      <c r="H558" s="324"/>
      <c r="I558" s="324"/>
      <c r="J558" s="324"/>
      <c r="K558" s="324"/>
      <c r="L558" s="324"/>
      <c r="M558" s="324"/>
      <c r="N558" s="324"/>
      <c r="O558" s="324"/>
      <c r="P558" s="586" t="s">
        <v>1856</v>
      </c>
      <c r="Q558" s="301"/>
      <c r="R558" s="177"/>
      <c r="S558" s="403"/>
      <c r="T558" s="525" t="s">
        <v>2606</v>
      </c>
      <c r="U558" s="525" t="s">
        <v>1794</v>
      </c>
      <c r="AA558" s="28"/>
      <c r="AB558" s="28"/>
      <c r="AC558" s="997"/>
      <c r="AD558" s="536"/>
    </row>
    <row r="559" spans="6:30" ht="10.5" customHeight="1">
      <c r="F559" s="347"/>
      <c r="G559" s="324"/>
      <c r="H559" s="324"/>
      <c r="I559" s="324"/>
      <c r="J559" s="324"/>
      <c r="K559" s="324"/>
      <c r="L559" s="324"/>
      <c r="M559" s="324"/>
      <c r="N559" s="324"/>
      <c r="O559" s="324"/>
      <c r="P559" s="586" t="s">
        <v>1822</v>
      </c>
      <c r="Q559" s="301"/>
      <c r="R559" s="177"/>
      <c r="S559" s="403"/>
      <c r="T559" s="525" t="s">
        <v>1596</v>
      </c>
      <c r="U559" s="525" t="s">
        <v>2503</v>
      </c>
      <c r="AA559" s="28"/>
      <c r="AB559" s="28"/>
      <c r="AC559" s="997"/>
      <c r="AD559" s="536"/>
    </row>
    <row r="560" spans="6:30" ht="10.5" customHeight="1">
      <c r="F560" s="347"/>
      <c r="G560" s="324"/>
      <c r="H560" s="324"/>
      <c r="I560" s="324"/>
      <c r="J560" s="324"/>
      <c r="K560" s="324"/>
      <c r="L560" s="324"/>
      <c r="M560" s="324"/>
      <c r="N560" s="324"/>
      <c r="O560" s="324"/>
      <c r="P560" s="586" t="s">
        <v>1654</v>
      </c>
      <c r="Q560" s="301"/>
      <c r="R560" s="177"/>
      <c r="S560" s="403"/>
      <c r="T560" s="525" t="s">
        <v>1598</v>
      </c>
      <c r="U560" s="525" t="s">
        <v>325</v>
      </c>
      <c r="AA560" s="28"/>
      <c r="AB560" s="28"/>
      <c r="AC560" s="997"/>
      <c r="AD560" s="536"/>
    </row>
    <row r="561" spans="6:30" ht="10.5" customHeight="1">
      <c r="F561" s="347"/>
      <c r="G561" s="324"/>
      <c r="H561" s="324"/>
      <c r="I561" s="324"/>
      <c r="J561" s="324"/>
      <c r="K561" s="324"/>
      <c r="L561" s="324"/>
      <c r="M561" s="324"/>
      <c r="N561" s="324"/>
      <c r="O561" s="324"/>
      <c r="P561" s="586" t="s">
        <v>1655</v>
      </c>
      <c r="Q561" s="301"/>
      <c r="R561" s="177"/>
      <c r="S561" s="403"/>
      <c r="T561" s="525" t="s">
        <v>1450</v>
      </c>
      <c r="U561" s="525" t="s">
        <v>122</v>
      </c>
      <c r="AA561" s="28"/>
      <c r="AB561" s="28"/>
      <c r="AC561" s="997"/>
      <c r="AD561" s="536"/>
    </row>
    <row r="562" spans="6:30" ht="10.5" customHeight="1">
      <c r="F562" s="347"/>
      <c r="G562" s="324"/>
      <c r="H562" s="324"/>
      <c r="I562" s="324"/>
      <c r="J562" s="324"/>
      <c r="K562" s="324"/>
      <c r="L562" s="324"/>
      <c r="M562" s="324"/>
      <c r="N562" s="324"/>
      <c r="O562" s="324"/>
      <c r="P562" s="586" t="s">
        <v>1657</v>
      </c>
      <c r="Q562" s="301"/>
      <c r="R562" s="177"/>
      <c r="S562" s="403"/>
      <c r="T562" s="292" t="s">
        <v>2469</v>
      </c>
      <c r="U562" s="292" t="s">
        <v>2505</v>
      </c>
      <c r="AA562" s="28"/>
      <c r="AB562" s="28"/>
      <c r="AC562" s="997"/>
      <c r="AD562" s="536"/>
    </row>
    <row r="563" spans="6:30" ht="10.5" customHeight="1">
      <c r="F563" s="347"/>
      <c r="G563" s="324"/>
      <c r="H563" s="324"/>
      <c r="I563" s="324"/>
      <c r="J563" s="324"/>
      <c r="K563" s="324"/>
      <c r="L563" s="324"/>
      <c r="M563" s="324"/>
      <c r="N563" s="324"/>
      <c r="O563" s="324"/>
      <c r="P563" s="586" t="s">
        <v>2289</v>
      </c>
      <c r="Q563" s="301"/>
      <c r="R563" s="177"/>
      <c r="S563" s="403"/>
      <c r="T563" s="525" t="s">
        <v>1070</v>
      </c>
      <c r="U563" s="525" t="s">
        <v>634</v>
      </c>
      <c r="AA563" s="28"/>
      <c r="AB563" s="28"/>
      <c r="AC563" s="536"/>
      <c r="AD563" s="536"/>
    </row>
    <row r="564" spans="6:30" ht="10.5" customHeight="1">
      <c r="F564" s="347"/>
      <c r="G564" s="324"/>
      <c r="H564" s="324"/>
      <c r="I564" s="324"/>
      <c r="J564" s="324"/>
      <c r="K564" s="324"/>
      <c r="L564" s="324"/>
      <c r="M564" s="324"/>
      <c r="N564" s="324"/>
      <c r="O564" s="324"/>
      <c r="P564" s="586" t="s">
        <v>564</v>
      </c>
      <c r="Q564" s="301"/>
      <c r="R564" s="177"/>
      <c r="S564" s="403"/>
      <c r="T564" s="525" t="s">
        <v>1071</v>
      </c>
      <c r="U564" s="525" t="s">
        <v>634</v>
      </c>
      <c r="AA564" s="28"/>
      <c r="AB564" s="28"/>
      <c r="AC564" s="997"/>
      <c r="AD564" s="536"/>
    </row>
    <row r="565" spans="6:30" ht="10.5" customHeight="1">
      <c r="F565" s="347"/>
      <c r="G565" s="324"/>
      <c r="H565" s="324"/>
      <c r="I565" s="324"/>
      <c r="J565" s="324"/>
      <c r="K565" s="324"/>
      <c r="L565" s="324"/>
      <c r="M565" s="324"/>
      <c r="N565" s="324"/>
      <c r="O565" s="324"/>
      <c r="P565" s="586" t="s">
        <v>566</v>
      </c>
      <c r="Q565" s="301"/>
      <c r="R565" s="177"/>
      <c r="S565" s="403"/>
      <c r="T565" s="525" t="s">
        <v>1072</v>
      </c>
      <c r="U565" s="525" t="s">
        <v>634</v>
      </c>
      <c r="AA565" s="28"/>
      <c r="AB565" s="28"/>
      <c r="AC565" s="997"/>
      <c r="AD565" s="536"/>
    </row>
    <row r="566" spans="6:30" ht="10.5" customHeight="1">
      <c r="F566" s="347"/>
      <c r="G566" s="324"/>
      <c r="H566" s="324"/>
      <c r="I566" s="324"/>
      <c r="J566" s="324"/>
      <c r="K566" s="324"/>
      <c r="L566" s="324"/>
      <c r="M566" s="324"/>
      <c r="N566" s="324"/>
      <c r="O566" s="324"/>
      <c r="P566" s="586" t="s">
        <v>568</v>
      </c>
      <c r="Q566" s="301"/>
      <c r="R566" s="177"/>
      <c r="S566" s="403"/>
      <c r="T566" s="525" t="s">
        <v>1832</v>
      </c>
      <c r="U566" s="525" t="s">
        <v>2607</v>
      </c>
      <c r="AA566" s="28"/>
      <c r="AB566" s="28"/>
      <c r="AC566" s="997"/>
      <c r="AD566" s="536"/>
    </row>
    <row r="567" spans="6:30" ht="10.5" customHeight="1">
      <c r="F567" s="347"/>
      <c r="G567" s="324"/>
      <c r="H567" s="324"/>
      <c r="I567" s="324"/>
      <c r="J567" s="324"/>
      <c r="K567" s="324"/>
      <c r="L567" s="324"/>
      <c r="M567" s="324"/>
      <c r="N567" s="324"/>
      <c r="O567" s="324"/>
      <c r="P567" s="586" t="s">
        <v>2069</v>
      </c>
      <c r="Q567" s="301"/>
      <c r="R567" s="177"/>
      <c r="S567" s="403"/>
      <c r="T567" s="525" t="s">
        <v>1843</v>
      </c>
      <c r="U567" s="525" t="s">
        <v>105</v>
      </c>
      <c r="AA567" s="28"/>
      <c r="AB567" s="28"/>
      <c r="AC567" s="997"/>
      <c r="AD567" s="536"/>
    </row>
    <row r="568" spans="6:30" ht="10.5" customHeight="1">
      <c r="F568" s="347"/>
      <c r="G568" s="324"/>
      <c r="H568" s="324"/>
      <c r="I568" s="324"/>
      <c r="J568" s="324"/>
      <c r="K568" s="324"/>
      <c r="L568" s="324"/>
      <c r="M568" s="324"/>
      <c r="N568" s="324"/>
      <c r="O568" s="324"/>
      <c r="P568" s="586" t="s">
        <v>1459</v>
      </c>
      <c r="Q568" s="301"/>
      <c r="R568" s="177"/>
      <c r="S568" s="403"/>
      <c r="T568" s="525" t="s">
        <v>1845</v>
      </c>
      <c r="U568" s="525" t="s">
        <v>2258</v>
      </c>
      <c r="AA568" s="28"/>
      <c r="AB568" s="28"/>
      <c r="AC568" s="997"/>
      <c r="AD568" s="536"/>
    </row>
    <row r="569" spans="6:30" ht="10.5" customHeight="1">
      <c r="F569" s="347"/>
      <c r="G569" s="324"/>
      <c r="H569" s="324"/>
      <c r="I569" s="324"/>
      <c r="J569" s="324"/>
      <c r="K569" s="324"/>
      <c r="L569" s="324"/>
      <c r="M569" s="324"/>
      <c r="N569" s="324"/>
      <c r="O569" s="324"/>
      <c r="P569" s="586" t="s">
        <v>1461</v>
      </c>
      <c r="Q569" s="301"/>
      <c r="R569" s="177"/>
      <c r="S569" s="403"/>
      <c r="T569" s="525" t="s">
        <v>1848</v>
      </c>
      <c r="U569" s="525" t="s">
        <v>2258</v>
      </c>
      <c r="AA569" s="28"/>
      <c r="AB569" s="28"/>
      <c r="AC569" s="997"/>
      <c r="AD569" s="536"/>
    </row>
    <row r="570" spans="6:30" ht="10.5" customHeight="1">
      <c r="F570" s="347"/>
      <c r="G570" s="324"/>
      <c r="H570" s="324"/>
      <c r="I570" s="324"/>
      <c r="J570" s="324"/>
      <c r="K570" s="324"/>
      <c r="L570" s="324"/>
      <c r="M570" s="324"/>
      <c r="N570" s="324"/>
      <c r="O570" s="324"/>
      <c r="P570" s="586" t="s">
        <v>1462</v>
      </c>
      <c r="Q570" s="301"/>
      <c r="R570" s="177"/>
      <c r="S570" s="403"/>
      <c r="T570" s="525" t="s">
        <v>1850</v>
      </c>
      <c r="U570" s="525" t="s">
        <v>313</v>
      </c>
      <c r="AA570" s="28"/>
      <c r="AB570" s="28"/>
      <c r="AC570" s="997"/>
      <c r="AD570" s="536"/>
    </row>
    <row r="571" spans="6:30" ht="10.5" customHeight="1">
      <c r="F571" s="347"/>
      <c r="G571" s="324"/>
      <c r="H571" s="324"/>
      <c r="I571" s="324"/>
      <c r="J571" s="324"/>
      <c r="K571" s="324"/>
      <c r="L571" s="324"/>
      <c r="M571" s="324"/>
      <c r="N571" s="324"/>
      <c r="O571" s="324"/>
      <c r="P571" s="586" t="s">
        <v>1593</v>
      </c>
      <c r="Q571" s="301"/>
      <c r="R571" s="177"/>
      <c r="S571" s="403"/>
      <c r="T571" s="525" t="s">
        <v>1852</v>
      </c>
      <c r="U571" s="525" t="s">
        <v>1679</v>
      </c>
      <c r="AA571" s="28"/>
      <c r="AB571" s="28"/>
      <c r="AC571" s="997"/>
      <c r="AD571" s="536"/>
    </row>
    <row r="572" spans="6:30" ht="10.5" customHeight="1">
      <c r="F572" s="347"/>
      <c r="G572" s="324"/>
      <c r="H572" s="324"/>
      <c r="I572" s="324"/>
      <c r="J572" s="324"/>
      <c r="K572" s="324"/>
      <c r="L572" s="324"/>
      <c r="M572" s="324"/>
      <c r="N572" s="324"/>
      <c r="O572" s="324"/>
      <c r="P572" s="586" t="s">
        <v>2135</v>
      </c>
      <c r="Q572" s="301"/>
      <c r="R572" s="177"/>
      <c r="S572" s="403"/>
      <c r="T572" s="525" t="s">
        <v>1854</v>
      </c>
      <c r="U572" s="525" t="s">
        <v>323</v>
      </c>
      <c r="AA572" s="28"/>
      <c r="AB572" s="28"/>
      <c r="AC572" s="997"/>
      <c r="AD572" s="536"/>
    </row>
    <row r="573" spans="6:30" ht="10.5" customHeight="1">
      <c r="F573" s="347"/>
      <c r="G573" s="324"/>
      <c r="H573" s="324"/>
      <c r="I573" s="324"/>
      <c r="J573" s="324"/>
      <c r="K573" s="324"/>
      <c r="L573" s="324"/>
      <c r="M573" s="324"/>
      <c r="N573" s="324"/>
      <c r="O573" s="324"/>
      <c r="P573" s="586" t="s">
        <v>2137</v>
      </c>
      <c r="Q573" s="301"/>
      <c r="R573" s="177"/>
      <c r="S573" s="403"/>
      <c r="T573" s="292" t="s">
        <v>2607</v>
      </c>
      <c r="U573" s="292" t="s">
        <v>107</v>
      </c>
      <c r="AA573" s="28"/>
      <c r="AB573" s="28"/>
      <c r="AC573" s="997"/>
      <c r="AD573" s="536"/>
    </row>
    <row r="574" spans="6:30" ht="10.5" customHeight="1">
      <c r="F574" s="347"/>
      <c r="G574" s="324"/>
      <c r="H574" s="324"/>
      <c r="I574" s="324"/>
      <c r="J574" s="324"/>
      <c r="K574" s="324"/>
      <c r="L574" s="324"/>
      <c r="M574" s="324"/>
      <c r="N574" s="324"/>
      <c r="O574" s="324"/>
      <c r="P574" s="586" t="s">
        <v>2139</v>
      </c>
      <c r="Q574" s="301"/>
      <c r="R574" s="177"/>
      <c r="S574" s="403"/>
      <c r="T574" s="525" t="s">
        <v>1961</v>
      </c>
      <c r="U574" s="525" t="s">
        <v>109</v>
      </c>
      <c r="AA574" s="28"/>
      <c r="AB574" s="28"/>
      <c r="AC574" s="536"/>
      <c r="AD574" s="536"/>
    </row>
    <row r="575" spans="6:30" ht="10.5" customHeight="1">
      <c r="F575" s="347"/>
      <c r="G575" s="324"/>
      <c r="H575" s="324"/>
      <c r="I575" s="324"/>
      <c r="J575" s="324"/>
      <c r="K575" s="324"/>
      <c r="L575" s="324"/>
      <c r="M575" s="324"/>
      <c r="N575" s="324"/>
      <c r="O575" s="324"/>
      <c r="P575" s="586" t="s">
        <v>1452</v>
      </c>
      <c r="Q575" s="301"/>
      <c r="R575" s="177"/>
      <c r="S575" s="403"/>
      <c r="T575" s="525" t="s">
        <v>1823</v>
      </c>
      <c r="U575" s="525" t="s">
        <v>1104</v>
      </c>
      <c r="AA575" s="28"/>
      <c r="AB575" s="28"/>
      <c r="AC575" s="997"/>
      <c r="AD575" s="536"/>
    </row>
    <row r="576" spans="6:30" ht="10.5" customHeight="1">
      <c r="F576" s="347"/>
      <c r="G576" s="324"/>
      <c r="H576" s="324"/>
      <c r="I576" s="324"/>
      <c r="J576" s="324"/>
      <c r="K576" s="324"/>
      <c r="L576" s="324"/>
      <c r="M576" s="324"/>
      <c r="N576" s="324"/>
      <c r="O576" s="324"/>
      <c r="P576" s="586" t="s">
        <v>1454</v>
      </c>
      <c r="Q576" s="301"/>
      <c r="R576" s="177"/>
      <c r="S576" s="403"/>
      <c r="T576" s="525" t="s">
        <v>2608</v>
      </c>
      <c r="U576" s="525" t="s">
        <v>1332</v>
      </c>
      <c r="AA576" s="28"/>
      <c r="AB576" s="28"/>
      <c r="AC576" s="997"/>
      <c r="AD576" s="536"/>
    </row>
    <row r="577" spans="6:30" ht="10.5" customHeight="1">
      <c r="F577" s="347"/>
      <c r="G577" s="324"/>
      <c r="H577" s="324"/>
      <c r="I577" s="324"/>
      <c r="J577" s="324"/>
      <c r="K577" s="324"/>
      <c r="L577" s="324"/>
      <c r="M577" s="324"/>
      <c r="N577" s="324"/>
      <c r="O577" s="324"/>
      <c r="P577" s="586" t="s">
        <v>1567</v>
      </c>
      <c r="Q577" s="301"/>
      <c r="R577" s="177"/>
      <c r="S577" s="403"/>
      <c r="T577" s="525" t="s">
        <v>1656</v>
      </c>
      <c r="U577" s="525" t="s">
        <v>2184</v>
      </c>
      <c r="AA577" s="28"/>
      <c r="AB577" s="28"/>
      <c r="AC577" s="997"/>
      <c r="AD577" s="536"/>
    </row>
    <row r="578" spans="6:30" ht="10.5" customHeight="1">
      <c r="F578" s="347"/>
      <c r="G578" s="324"/>
      <c r="H578" s="324"/>
      <c r="I578" s="324"/>
      <c r="J578" s="324"/>
      <c r="K578" s="324"/>
      <c r="L578" s="324"/>
      <c r="M578" s="324"/>
      <c r="N578" s="324"/>
      <c r="O578" s="324"/>
      <c r="P578" s="586" t="s">
        <v>1569</v>
      </c>
      <c r="Q578" s="301"/>
      <c r="R578" s="177"/>
      <c r="S578" s="403"/>
      <c r="T578" s="525" t="s">
        <v>839</v>
      </c>
      <c r="U578" s="525" t="s">
        <v>2191</v>
      </c>
      <c r="AA578" s="28"/>
      <c r="AB578" s="28"/>
      <c r="AC578" s="997"/>
      <c r="AD578" s="536"/>
    </row>
    <row r="579" spans="6:30" ht="10.5" customHeight="1">
      <c r="F579" s="347"/>
      <c r="G579" s="324"/>
      <c r="H579" s="324"/>
      <c r="I579" s="324"/>
      <c r="J579" s="324"/>
      <c r="K579" s="324"/>
      <c r="L579" s="324"/>
      <c r="M579" s="324"/>
      <c r="N579" s="324"/>
      <c r="O579" s="324"/>
      <c r="P579" s="586" t="s">
        <v>2067</v>
      </c>
      <c r="Q579" s="301"/>
      <c r="R579" s="177"/>
      <c r="S579" s="403"/>
      <c r="T579" s="525" t="s">
        <v>2288</v>
      </c>
      <c r="U579" s="525" t="s">
        <v>1681</v>
      </c>
      <c r="AA579" s="28"/>
      <c r="AB579" s="28"/>
      <c r="AC579" s="997"/>
      <c r="AD579" s="536"/>
    </row>
    <row r="580" spans="6:30" ht="10.5" customHeight="1">
      <c r="F580" s="347"/>
      <c r="G580" s="324"/>
      <c r="H580" s="324"/>
      <c r="I580" s="324"/>
      <c r="J580" s="324"/>
      <c r="K580" s="324"/>
      <c r="L580" s="324"/>
      <c r="M580" s="324"/>
      <c r="N580" s="324"/>
      <c r="O580" s="324"/>
      <c r="P580" s="586" t="s">
        <v>1886</v>
      </c>
      <c r="Q580" s="301"/>
      <c r="R580" s="177"/>
      <c r="S580" s="403"/>
      <c r="T580" s="525" t="s">
        <v>2290</v>
      </c>
      <c r="U580" s="525" t="s">
        <v>2188</v>
      </c>
      <c r="AA580" s="28"/>
      <c r="AB580" s="28"/>
      <c r="AC580" s="997"/>
      <c r="AD580" s="536"/>
    </row>
    <row r="581" spans="6:30" ht="10.5" customHeight="1">
      <c r="F581" s="347"/>
      <c r="G581" s="324"/>
      <c r="H581" s="324"/>
      <c r="I581" s="324"/>
      <c r="J581" s="324"/>
      <c r="K581" s="324"/>
      <c r="L581" s="324"/>
      <c r="M581" s="324"/>
      <c r="N581" s="324"/>
      <c r="O581" s="324"/>
      <c r="P581" s="586" t="s">
        <v>279</v>
      </c>
      <c r="Q581" s="301"/>
      <c r="R581" s="177"/>
      <c r="S581" s="403"/>
      <c r="T581" s="525" t="s">
        <v>565</v>
      </c>
      <c r="U581" s="525" t="s">
        <v>2606</v>
      </c>
      <c r="AA581" s="28"/>
      <c r="AB581" s="28"/>
      <c r="AC581" s="997"/>
      <c r="AD581" s="536"/>
    </row>
    <row r="582" spans="6:30" ht="10.5" customHeight="1">
      <c r="F582" s="347"/>
      <c r="G582" s="324"/>
      <c r="H582" s="324"/>
      <c r="I582" s="324"/>
      <c r="J582" s="324"/>
      <c r="K582" s="324"/>
      <c r="L582" s="324"/>
      <c r="M582" s="324"/>
      <c r="N582" s="324"/>
      <c r="O582" s="324"/>
      <c r="P582" s="586" t="s">
        <v>1697</v>
      </c>
      <c r="Q582" s="301"/>
      <c r="R582" s="177"/>
      <c r="S582" s="403"/>
      <c r="T582" s="525" t="s">
        <v>567</v>
      </c>
      <c r="U582" s="525" t="s">
        <v>1218</v>
      </c>
      <c r="AA582" s="28"/>
      <c r="AB582" s="28"/>
      <c r="AC582" s="997"/>
      <c r="AD582" s="536"/>
    </row>
    <row r="583" spans="6:30" ht="10.5" customHeight="1">
      <c r="F583" s="347"/>
      <c r="G583" s="324"/>
      <c r="H583" s="324"/>
      <c r="I583" s="324"/>
      <c r="J583" s="324"/>
      <c r="K583" s="324"/>
      <c r="L583" s="324"/>
      <c r="M583" s="324"/>
      <c r="N583" s="324"/>
      <c r="O583" s="324"/>
      <c r="P583" s="586" t="s">
        <v>263</v>
      </c>
      <c r="Q583" s="301"/>
      <c r="R583" s="177"/>
      <c r="S583" s="403"/>
      <c r="T583" s="525" t="s">
        <v>1073</v>
      </c>
      <c r="U583" s="525" t="s">
        <v>634</v>
      </c>
      <c r="AA583" s="28"/>
      <c r="AB583" s="28"/>
      <c r="AC583" s="997"/>
      <c r="AD583" s="536"/>
    </row>
    <row r="584" spans="6:30" ht="10.5" customHeight="1">
      <c r="F584" s="347"/>
      <c r="G584" s="324"/>
      <c r="H584" s="324"/>
      <c r="I584" s="324"/>
      <c r="J584" s="324"/>
      <c r="K584" s="324"/>
      <c r="L584" s="324"/>
      <c r="M584" s="324"/>
      <c r="N584" s="324"/>
      <c r="O584" s="324"/>
      <c r="P584" s="586" t="s">
        <v>277</v>
      </c>
      <c r="Q584" s="301"/>
      <c r="R584" s="177"/>
      <c r="S584" s="403"/>
      <c r="T584" s="525" t="s">
        <v>569</v>
      </c>
      <c r="U584" s="525" t="s">
        <v>1678</v>
      </c>
      <c r="AA584" s="28"/>
      <c r="AB584" s="28"/>
      <c r="AC584" s="997"/>
      <c r="AD584" s="536"/>
    </row>
    <row r="585" spans="6:30" ht="10.5" customHeight="1">
      <c r="F585" s="347"/>
      <c r="G585" s="324"/>
      <c r="H585" s="324"/>
      <c r="I585" s="324"/>
      <c r="J585" s="324"/>
      <c r="K585" s="324"/>
      <c r="L585" s="324"/>
      <c r="M585" s="324"/>
      <c r="N585" s="324"/>
      <c r="O585" s="324"/>
      <c r="P585" s="586" t="s">
        <v>1195</v>
      </c>
      <c r="Q585" s="301"/>
      <c r="R585" s="177"/>
      <c r="S585" s="403"/>
      <c r="T585" s="525" t="s">
        <v>1189</v>
      </c>
      <c r="U585" s="525" t="s">
        <v>1104</v>
      </c>
      <c r="AA585" s="28"/>
      <c r="AB585" s="28"/>
      <c r="AC585" s="997"/>
      <c r="AD585" s="536"/>
    </row>
    <row r="586" spans="6:30" ht="10.5" customHeight="1">
      <c r="F586" s="347"/>
      <c r="G586" s="324"/>
      <c r="H586" s="324"/>
      <c r="I586" s="324"/>
      <c r="J586" s="324"/>
      <c r="K586" s="324"/>
      <c r="L586" s="324"/>
      <c r="M586" s="324"/>
      <c r="N586" s="324"/>
      <c r="O586" s="324"/>
      <c r="P586" s="586" t="s">
        <v>751</v>
      </c>
      <c r="Q586" s="301"/>
      <c r="R586" s="177"/>
      <c r="S586" s="403"/>
      <c r="T586" s="525" t="s">
        <v>1460</v>
      </c>
      <c r="U586" s="525" t="s">
        <v>1679</v>
      </c>
      <c r="AA586" s="28"/>
      <c r="AB586" s="28"/>
      <c r="AC586" s="997"/>
      <c r="AD586" s="536"/>
    </row>
    <row r="587" spans="6:30" ht="10.5" customHeight="1">
      <c r="F587" s="347"/>
      <c r="G587" s="324"/>
      <c r="H587" s="324"/>
      <c r="I587" s="324"/>
      <c r="J587" s="324"/>
      <c r="K587" s="324"/>
      <c r="L587" s="324"/>
      <c r="M587" s="324"/>
      <c r="N587" s="324"/>
      <c r="O587" s="324"/>
      <c r="P587" s="586" t="s">
        <v>753</v>
      </c>
      <c r="Q587" s="301"/>
      <c r="R587" s="177"/>
      <c r="S587" s="403"/>
      <c r="T587" s="525" t="s">
        <v>2885</v>
      </c>
      <c r="U587" s="525" t="s">
        <v>1331</v>
      </c>
      <c r="AA587" s="28"/>
      <c r="AB587" s="28"/>
      <c r="AC587" s="997"/>
      <c r="AD587" s="536"/>
    </row>
    <row r="588" spans="6:30" ht="10.5" customHeight="1">
      <c r="F588" s="347"/>
      <c r="G588" s="324"/>
      <c r="H588" s="324"/>
      <c r="I588" s="324"/>
      <c r="J588" s="324"/>
      <c r="K588" s="324"/>
      <c r="L588" s="324"/>
      <c r="M588" s="324"/>
      <c r="N588" s="324"/>
      <c r="O588" s="324"/>
      <c r="P588" s="586" t="s">
        <v>1037</v>
      </c>
      <c r="Q588" s="301"/>
      <c r="R588" s="177"/>
      <c r="S588" s="403"/>
      <c r="T588" s="525" t="s">
        <v>1463</v>
      </c>
      <c r="U588" s="525" t="s">
        <v>663</v>
      </c>
      <c r="AA588" s="28"/>
      <c r="AB588" s="28"/>
      <c r="AC588" s="997"/>
      <c r="AD588" s="536"/>
    </row>
    <row r="589" spans="6:30" ht="10.5" customHeight="1">
      <c r="F589" s="347"/>
      <c r="G589" s="324"/>
      <c r="H589" s="324"/>
      <c r="I589" s="324"/>
      <c r="J589" s="324"/>
      <c r="K589" s="324"/>
      <c r="L589" s="324"/>
      <c r="M589" s="324"/>
      <c r="N589" s="324"/>
      <c r="O589" s="324"/>
      <c r="P589" s="586" t="s">
        <v>1039</v>
      </c>
      <c r="Q589" s="301"/>
      <c r="R589" s="177"/>
      <c r="S589" s="403"/>
      <c r="T589" s="292" t="s">
        <v>2886</v>
      </c>
      <c r="U589" s="292" t="s">
        <v>122</v>
      </c>
      <c r="AA589" s="28"/>
      <c r="AB589" s="28"/>
      <c r="AC589" s="997"/>
      <c r="AD589" s="536"/>
    </row>
    <row r="590" spans="6:30" ht="10.5" customHeight="1">
      <c r="F590" s="347"/>
      <c r="G590" s="324"/>
      <c r="H590" s="324"/>
      <c r="I590" s="324"/>
      <c r="J590" s="324"/>
      <c r="K590" s="324"/>
      <c r="L590" s="324"/>
      <c r="M590" s="324"/>
      <c r="N590" s="324"/>
      <c r="O590" s="324"/>
      <c r="P590" s="586" t="s">
        <v>1827</v>
      </c>
      <c r="Q590" s="301"/>
      <c r="R590" s="177"/>
      <c r="S590" s="403"/>
      <c r="T590" s="525" t="s">
        <v>1594</v>
      </c>
      <c r="U590" s="525" t="s">
        <v>1790</v>
      </c>
      <c r="AA590" s="28"/>
      <c r="AB590" s="28"/>
      <c r="AC590" s="536"/>
      <c r="AD590" s="536"/>
    </row>
    <row r="591" spans="6:30" ht="10.5" customHeight="1">
      <c r="F591" s="347"/>
      <c r="G591" s="324"/>
      <c r="H591" s="324"/>
      <c r="I591" s="324"/>
      <c r="J591" s="324"/>
      <c r="K591" s="324"/>
      <c r="L591" s="324"/>
      <c r="M591" s="324"/>
      <c r="N591" s="324"/>
      <c r="O591" s="324"/>
      <c r="P591" s="586" t="s">
        <v>1829</v>
      </c>
      <c r="Q591" s="301"/>
      <c r="R591" s="177"/>
      <c r="S591" s="403"/>
      <c r="T591" s="525" t="s">
        <v>2136</v>
      </c>
      <c r="U591" s="525" t="s">
        <v>1646</v>
      </c>
      <c r="AA591" s="28"/>
      <c r="AB591" s="28"/>
      <c r="AC591" s="997"/>
      <c r="AD591" s="536"/>
    </row>
    <row r="592" spans="6:30" ht="10.5" customHeight="1">
      <c r="F592" s="347"/>
      <c r="G592" s="324"/>
      <c r="H592" s="324"/>
      <c r="I592" s="324"/>
      <c r="J592" s="324"/>
      <c r="K592" s="324"/>
      <c r="L592" s="324"/>
      <c r="M592" s="324"/>
      <c r="N592" s="324"/>
      <c r="O592" s="324"/>
      <c r="P592" s="586" t="s">
        <v>1830</v>
      </c>
      <c r="Q592" s="301"/>
      <c r="R592" s="177"/>
      <c r="S592" s="403"/>
      <c r="T592" s="292" t="s">
        <v>2138</v>
      </c>
      <c r="U592" s="292" t="s">
        <v>1337</v>
      </c>
      <c r="AA592" s="28"/>
      <c r="AB592" s="28"/>
      <c r="AC592" s="997"/>
      <c r="AD592" s="536"/>
    </row>
    <row r="593" spans="6:30" ht="10.5" customHeight="1">
      <c r="F593" s="347"/>
      <c r="G593" s="324"/>
      <c r="H593" s="324"/>
      <c r="I593" s="324"/>
      <c r="J593" s="324"/>
      <c r="K593" s="324"/>
      <c r="L593" s="324"/>
      <c r="M593" s="324"/>
      <c r="N593" s="324"/>
      <c r="O593" s="324"/>
      <c r="P593" s="586" t="s">
        <v>1145</v>
      </c>
      <c r="Q593" s="301"/>
      <c r="R593" s="177"/>
      <c r="S593" s="403"/>
      <c r="T593" s="525" t="s">
        <v>1451</v>
      </c>
      <c r="U593" s="525" t="s">
        <v>325</v>
      </c>
      <c r="AA593" s="28"/>
      <c r="AB593" s="28"/>
      <c r="AC593" s="536"/>
      <c r="AD593" s="536"/>
    </row>
    <row r="594" spans="6:30" ht="10.5" customHeight="1">
      <c r="F594" s="347"/>
      <c r="G594" s="324"/>
      <c r="H594" s="324"/>
      <c r="I594" s="324"/>
      <c r="J594" s="324"/>
      <c r="K594" s="324"/>
      <c r="L594" s="324"/>
      <c r="M594" s="324"/>
      <c r="N594" s="324"/>
      <c r="O594" s="324"/>
      <c r="P594" s="586" t="s">
        <v>403</v>
      </c>
      <c r="Q594" s="301"/>
      <c r="R594" s="177"/>
      <c r="S594" s="403"/>
      <c r="T594" s="525" t="s">
        <v>2887</v>
      </c>
      <c r="U594" s="525" t="s">
        <v>332</v>
      </c>
      <c r="AA594" s="28"/>
      <c r="AB594" s="28"/>
      <c r="AC594" s="997"/>
      <c r="AD594" s="536"/>
    </row>
    <row r="595" spans="6:30" ht="10.5" customHeight="1">
      <c r="F595" s="347"/>
      <c r="G595" s="324"/>
      <c r="H595" s="324"/>
      <c r="I595" s="324"/>
      <c r="J595" s="324"/>
      <c r="K595" s="324"/>
      <c r="L595" s="324"/>
      <c r="M595" s="324"/>
      <c r="N595" s="324"/>
      <c r="O595" s="324"/>
      <c r="P595" s="586" t="s">
        <v>3</v>
      </c>
      <c r="Q595" s="301"/>
      <c r="R595" s="177"/>
      <c r="S595" s="403"/>
      <c r="T595" s="525" t="s">
        <v>1453</v>
      </c>
      <c r="U595" s="525" t="s">
        <v>322</v>
      </c>
      <c r="AA595" s="28"/>
      <c r="AB595" s="28"/>
      <c r="AC595" s="997"/>
      <c r="AD595" s="536"/>
    </row>
    <row r="596" spans="6:30" ht="10.5" customHeight="1">
      <c r="F596" s="347"/>
      <c r="G596" s="324"/>
      <c r="H596" s="324"/>
      <c r="I596" s="324"/>
      <c r="J596" s="324"/>
      <c r="K596" s="324"/>
      <c r="L596" s="324"/>
      <c r="M596" s="324"/>
      <c r="N596" s="324"/>
      <c r="O596" s="324"/>
      <c r="P596" s="586" t="s">
        <v>5</v>
      </c>
      <c r="Q596" s="301"/>
      <c r="R596" s="177"/>
      <c r="S596" s="403"/>
      <c r="T596" s="292" t="s">
        <v>1074</v>
      </c>
      <c r="U596" s="292" t="s">
        <v>1681</v>
      </c>
      <c r="AA596" s="28"/>
      <c r="AB596" s="28"/>
      <c r="AC596" s="997"/>
      <c r="AD596" s="536"/>
    </row>
    <row r="597" spans="6:30" ht="10.5" customHeight="1">
      <c r="F597" s="347"/>
      <c r="G597" s="324"/>
      <c r="H597" s="324"/>
      <c r="I597" s="324"/>
      <c r="J597" s="324"/>
      <c r="K597" s="324"/>
      <c r="L597" s="324"/>
      <c r="M597" s="324"/>
      <c r="N597" s="324"/>
      <c r="O597" s="324"/>
      <c r="P597" s="586" t="s">
        <v>7</v>
      </c>
      <c r="Q597" s="301"/>
      <c r="R597" s="177"/>
      <c r="S597" s="403"/>
      <c r="T597" s="292" t="s">
        <v>1455</v>
      </c>
      <c r="U597" s="292" t="s">
        <v>634</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1568</v>
      </c>
      <c r="U598" s="525" t="s">
        <v>317</v>
      </c>
      <c r="AA598" s="28"/>
      <c r="AB598" s="28"/>
      <c r="AC598" s="536"/>
      <c r="AD598" s="536"/>
    </row>
    <row r="599" spans="6:30" ht="10.5" customHeight="1">
      <c r="F599" s="347"/>
      <c r="G599" s="324"/>
      <c r="H599" s="324"/>
      <c r="I599" s="324"/>
      <c r="J599" s="324"/>
      <c r="K599" s="324"/>
      <c r="L599" s="324"/>
      <c r="M599" s="324"/>
      <c r="N599" s="324"/>
      <c r="O599" s="324"/>
      <c r="P599" s="586" t="s">
        <v>2159</v>
      </c>
      <c r="Q599" s="301"/>
      <c r="R599" s="177"/>
      <c r="S599" s="403"/>
      <c r="T599" s="525" t="s">
        <v>2068</v>
      </c>
      <c r="U599" s="525" t="s">
        <v>962</v>
      </c>
      <c r="AA599" s="28"/>
      <c r="AB599" s="28"/>
      <c r="AC599" s="997"/>
      <c r="AD599" s="536"/>
    </row>
    <row r="600" spans="6:30" ht="10.5" customHeight="1">
      <c r="F600" s="347"/>
      <c r="G600" s="324"/>
      <c r="H600" s="324"/>
      <c r="I600" s="324"/>
      <c r="J600" s="324"/>
      <c r="K600" s="324"/>
      <c r="L600" s="324"/>
      <c r="M600" s="324"/>
      <c r="N600" s="324"/>
      <c r="O600" s="324"/>
      <c r="P600" s="586" t="s">
        <v>2161</v>
      </c>
      <c r="Q600" s="301"/>
      <c r="R600" s="177"/>
      <c r="S600" s="403"/>
      <c r="T600" s="525" t="s">
        <v>1887</v>
      </c>
      <c r="U600" s="525" t="s">
        <v>1966</v>
      </c>
      <c r="AA600" s="28"/>
      <c r="AB600" s="28"/>
      <c r="AC600" s="997"/>
      <c r="AD600" s="536"/>
    </row>
    <row r="601" spans="6:30" ht="10.5" customHeight="1">
      <c r="F601" s="347"/>
      <c r="G601" s="324"/>
      <c r="H601" s="324"/>
      <c r="I601" s="324"/>
      <c r="J601" s="324"/>
      <c r="K601" s="324"/>
      <c r="L601" s="324"/>
      <c r="M601" s="324"/>
      <c r="N601" s="324"/>
      <c r="O601" s="324"/>
      <c r="P601" s="586" t="s">
        <v>2163</v>
      </c>
      <c r="Q601" s="301"/>
      <c r="R601" s="177"/>
      <c r="S601" s="403"/>
      <c r="T601" s="525" t="s">
        <v>280</v>
      </c>
      <c r="U601" s="525" t="s">
        <v>1966</v>
      </c>
      <c r="AA601" s="28"/>
      <c r="AB601" s="28"/>
      <c r="AC601" s="997"/>
      <c r="AD601" s="536"/>
    </row>
    <row r="602" spans="6:30" ht="10.5" customHeight="1">
      <c r="F602" s="347"/>
      <c r="G602" s="324"/>
      <c r="H602" s="324"/>
      <c r="I602" s="324"/>
      <c r="J602" s="324"/>
      <c r="K602" s="324"/>
      <c r="L602" s="324"/>
      <c r="M602" s="324"/>
      <c r="N602" s="324"/>
      <c r="O602" s="324"/>
      <c r="P602" s="586" t="s">
        <v>2165</v>
      </c>
      <c r="Q602" s="301"/>
      <c r="R602" s="177"/>
      <c r="S602" s="403"/>
      <c r="T602" s="525" t="s">
        <v>1698</v>
      </c>
      <c r="U602" s="525" t="s">
        <v>2193</v>
      </c>
      <c r="AA602" s="28"/>
      <c r="AB602" s="28"/>
      <c r="AC602" s="997"/>
      <c r="AD602" s="536"/>
    </row>
    <row r="603" spans="6:30" ht="10.5" customHeight="1">
      <c r="F603" s="347"/>
      <c r="G603" s="324"/>
      <c r="H603" s="324"/>
      <c r="I603" s="324"/>
      <c r="J603" s="324"/>
      <c r="K603" s="324"/>
      <c r="L603" s="324"/>
      <c r="M603" s="324"/>
      <c r="N603" s="324"/>
      <c r="O603" s="324"/>
      <c r="P603" s="586" t="s">
        <v>2167</v>
      </c>
      <c r="Q603" s="301"/>
      <c r="R603" s="177"/>
      <c r="S603" s="403"/>
      <c r="T603" s="525" t="s">
        <v>264</v>
      </c>
      <c r="U603" s="525" t="s">
        <v>673</v>
      </c>
      <c r="AA603" s="28"/>
      <c r="AB603" s="28"/>
      <c r="AC603" s="997"/>
      <c r="AD603" s="536"/>
    </row>
    <row r="604" spans="6:30" ht="10.5" customHeight="1">
      <c r="F604" s="347"/>
      <c r="G604" s="324"/>
      <c r="H604" s="324"/>
      <c r="I604" s="324"/>
      <c r="J604" s="324"/>
      <c r="K604" s="324"/>
      <c r="L604" s="324"/>
      <c r="M604" s="324"/>
      <c r="N604" s="324"/>
      <c r="O604" s="324"/>
      <c r="P604" s="586" t="s">
        <v>89</v>
      </c>
      <c r="Q604" s="301"/>
      <c r="R604" s="177"/>
      <c r="S604" s="403"/>
      <c r="T604" s="525" t="s">
        <v>1194</v>
      </c>
      <c r="U604" s="525" t="s">
        <v>160</v>
      </c>
      <c r="AA604" s="28"/>
      <c r="AB604" s="28"/>
      <c r="AC604" s="997"/>
      <c r="AD604" s="536"/>
    </row>
    <row r="605" spans="6:30" ht="10.5" customHeight="1">
      <c r="F605" s="347"/>
      <c r="G605" s="324"/>
      <c r="H605" s="324"/>
      <c r="I605" s="324"/>
      <c r="J605" s="324"/>
      <c r="K605" s="324"/>
      <c r="L605" s="324"/>
      <c r="M605" s="324"/>
      <c r="N605" s="324"/>
      <c r="O605" s="324"/>
      <c r="P605" s="586" t="s">
        <v>2033</v>
      </c>
      <c r="Q605" s="301"/>
      <c r="R605" s="177"/>
      <c r="S605" s="403"/>
      <c r="T605" s="525" t="s">
        <v>1196</v>
      </c>
      <c r="U605" s="525" t="s">
        <v>160</v>
      </c>
      <c r="AA605" s="28"/>
      <c r="AB605" s="28"/>
      <c r="AC605" s="997"/>
      <c r="AD605" s="536"/>
    </row>
    <row r="606" spans="6:30" ht="10.5" customHeight="1">
      <c r="F606" s="347"/>
      <c r="G606" s="324"/>
      <c r="H606" s="324"/>
      <c r="I606" s="324"/>
      <c r="J606" s="324"/>
      <c r="K606" s="324"/>
      <c r="L606" s="324"/>
      <c r="M606" s="324"/>
      <c r="N606" s="324"/>
      <c r="O606" s="324"/>
      <c r="P606" s="586" t="s">
        <v>1526</v>
      </c>
      <c r="Q606" s="301"/>
      <c r="R606" s="177"/>
      <c r="S606" s="403"/>
      <c r="T606" s="525" t="s">
        <v>752</v>
      </c>
      <c r="U606" s="525" t="s">
        <v>1339</v>
      </c>
      <c r="AA606" s="28"/>
      <c r="AB606" s="28"/>
      <c r="AC606" s="997"/>
      <c r="AD606" s="536"/>
    </row>
    <row r="607" spans="6:30" ht="10.5" customHeight="1">
      <c r="F607" s="347"/>
      <c r="G607" s="324"/>
      <c r="H607" s="324"/>
      <c r="I607" s="324"/>
      <c r="J607" s="324"/>
      <c r="K607" s="324"/>
      <c r="L607" s="324"/>
      <c r="M607" s="324"/>
      <c r="N607" s="324"/>
      <c r="O607" s="324"/>
      <c r="P607" s="586" t="s">
        <v>1528</v>
      </c>
      <c r="Q607" s="301"/>
      <c r="R607" s="177"/>
      <c r="S607" s="403"/>
      <c r="T607" s="525" t="s">
        <v>247</v>
      </c>
      <c r="U607" s="525" t="s">
        <v>2606</v>
      </c>
      <c r="AA607" s="28"/>
      <c r="AB607" s="28"/>
      <c r="AC607" s="997"/>
      <c r="AD607" s="536"/>
    </row>
    <row r="608" spans="6:30" ht="10.5" customHeight="1">
      <c r="F608" s="347"/>
      <c r="G608" s="324"/>
      <c r="H608" s="324"/>
      <c r="I608" s="324"/>
      <c r="J608" s="324"/>
      <c r="K608" s="324"/>
      <c r="L608" s="324"/>
      <c r="M608" s="324"/>
      <c r="N608" s="324"/>
      <c r="O608" s="324"/>
      <c r="P608" s="586" t="s">
        <v>1530</v>
      </c>
      <c r="Q608" s="301"/>
      <c r="R608" s="177"/>
      <c r="S608" s="403"/>
      <c r="T608" s="525" t="s">
        <v>1038</v>
      </c>
      <c r="U608" s="525" t="s">
        <v>2417</v>
      </c>
      <c r="AA608" s="28"/>
      <c r="AB608" s="28"/>
      <c r="AC608" s="997"/>
      <c r="AD608" s="536"/>
    </row>
    <row r="609" spans="6:30" ht="10.5" customHeight="1">
      <c r="F609" s="347"/>
      <c r="G609" s="324"/>
      <c r="H609" s="324"/>
      <c r="I609" s="324"/>
      <c r="J609" s="324"/>
      <c r="K609" s="324"/>
      <c r="L609" s="324"/>
      <c r="M609" s="324"/>
      <c r="N609" s="324"/>
      <c r="O609" s="324"/>
      <c r="P609" s="586" t="s">
        <v>63</v>
      </c>
      <c r="Q609" s="301"/>
      <c r="R609" s="177"/>
      <c r="S609" s="403"/>
      <c r="T609" s="525" t="s">
        <v>1763</v>
      </c>
      <c r="U609" s="525" t="s">
        <v>2502</v>
      </c>
      <c r="AA609" s="28"/>
      <c r="AB609" s="28"/>
      <c r="AC609" s="997"/>
      <c r="AD609" s="536"/>
    </row>
    <row r="610" spans="6:30" ht="10.5" customHeight="1">
      <c r="F610" s="347"/>
      <c r="G610" s="324"/>
      <c r="H610" s="324"/>
      <c r="I610" s="324"/>
      <c r="J610" s="324"/>
      <c r="K610" s="324"/>
      <c r="L610" s="324"/>
      <c r="M610" s="324"/>
      <c r="N610" s="324"/>
      <c r="O610" s="324"/>
      <c r="P610" s="586" t="s">
        <v>65</v>
      </c>
      <c r="Q610" s="301"/>
      <c r="R610" s="177"/>
      <c r="S610" s="403"/>
      <c r="T610" s="525" t="s">
        <v>1828</v>
      </c>
      <c r="U610" s="525" t="s">
        <v>111</v>
      </c>
      <c r="AA610" s="28"/>
      <c r="AB610" s="28"/>
      <c r="AC610" s="997"/>
      <c r="AD610" s="536"/>
    </row>
    <row r="611" spans="6:30" ht="10.5" customHeight="1">
      <c r="F611" s="347"/>
      <c r="G611" s="324"/>
      <c r="H611" s="324"/>
      <c r="I611" s="324"/>
      <c r="J611" s="324"/>
      <c r="K611" s="324"/>
      <c r="L611" s="324"/>
      <c r="M611" s="324"/>
      <c r="N611" s="324"/>
      <c r="O611" s="324"/>
      <c r="P611" s="586" t="s">
        <v>67</v>
      </c>
      <c r="Q611" s="301"/>
      <c r="R611" s="177"/>
      <c r="S611" s="403"/>
      <c r="T611" s="525" t="s">
        <v>1109</v>
      </c>
      <c r="U611" s="525" t="s">
        <v>739</v>
      </c>
      <c r="AA611" s="28"/>
      <c r="AB611" s="28"/>
      <c r="AC611" s="997"/>
      <c r="AD611" s="536"/>
    </row>
    <row r="612" spans="6:30" ht="10.5" customHeight="1">
      <c r="F612" s="347"/>
      <c r="G612" s="324"/>
      <c r="H612" s="324"/>
      <c r="I612" s="324"/>
      <c r="J612" s="324"/>
      <c r="K612" s="324"/>
      <c r="L612" s="324"/>
      <c r="M612" s="324"/>
      <c r="N612" s="324"/>
      <c r="O612" s="324"/>
      <c r="P612" s="586" t="s">
        <v>69</v>
      </c>
      <c r="Q612" s="301"/>
      <c r="R612" s="177"/>
      <c r="S612" s="403"/>
      <c r="T612" s="525" t="s">
        <v>1075</v>
      </c>
      <c r="U612" s="525" t="s">
        <v>964</v>
      </c>
      <c r="AA612" s="28"/>
      <c r="AB612" s="28"/>
      <c r="AC612" s="997"/>
      <c r="AD612" s="536"/>
    </row>
    <row r="613" spans="6:30" ht="10.5" customHeight="1">
      <c r="F613" s="347"/>
      <c r="G613" s="324"/>
      <c r="H613" s="324"/>
      <c r="I613" s="324"/>
      <c r="J613" s="324"/>
      <c r="K613" s="324"/>
      <c r="L613" s="324"/>
      <c r="M613" s="324"/>
      <c r="N613" s="324"/>
      <c r="O613" s="324"/>
      <c r="P613" s="586" t="s">
        <v>71</v>
      </c>
      <c r="Q613" s="301"/>
      <c r="R613" s="177"/>
      <c r="S613" s="403"/>
      <c r="T613" s="525" t="s">
        <v>1113</v>
      </c>
      <c r="U613" s="525" t="s">
        <v>1336</v>
      </c>
      <c r="AA613" s="28"/>
      <c r="AB613" s="28"/>
      <c r="AC613" s="997"/>
      <c r="AD613" s="536"/>
    </row>
    <row r="614" spans="6:30" ht="10.5" customHeight="1">
      <c r="F614" s="347"/>
      <c r="G614" s="324"/>
      <c r="H614" s="324"/>
      <c r="I614" s="324"/>
      <c r="J614" s="324"/>
      <c r="K614" s="324"/>
      <c r="L614" s="324"/>
      <c r="M614" s="324"/>
      <c r="N614" s="324"/>
      <c r="O614" s="324"/>
      <c r="P614" s="586" t="s">
        <v>784</v>
      </c>
      <c r="Q614" s="301"/>
      <c r="R614" s="177"/>
      <c r="S614" s="403"/>
      <c r="T614" s="525" t="s">
        <v>404</v>
      </c>
      <c r="U614" s="525" t="s">
        <v>673</v>
      </c>
      <c r="AA614" s="28"/>
      <c r="AB614" s="28"/>
      <c r="AC614" s="997"/>
      <c r="AD614" s="536"/>
    </row>
    <row r="615" spans="6:30" ht="10.5" customHeight="1">
      <c r="F615" s="347"/>
      <c r="G615" s="324"/>
      <c r="H615" s="324"/>
      <c r="I615" s="324"/>
      <c r="J615" s="324"/>
      <c r="K615" s="324"/>
      <c r="L615" s="324"/>
      <c r="M615" s="324"/>
      <c r="N615" s="324"/>
      <c r="O615" s="324"/>
      <c r="P615" s="586" t="s">
        <v>735</v>
      </c>
      <c r="Q615" s="301"/>
      <c r="R615" s="177"/>
      <c r="S615" s="403"/>
      <c r="T615" s="292" t="s">
        <v>1076</v>
      </c>
      <c r="U615" s="292" t="s">
        <v>123</v>
      </c>
      <c r="AA615" s="28"/>
      <c r="AB615" s="28"/>
      <c r="AC615" s="997"/>
      <c r="AD615" s="536"/>
    </row>
    <row r="616" spans="6:30" ht="10.5" customHeight="1">
      <c r="F616" s="347"/>
      <c r="G616" s="324"/>
      <c r="H616" s="324"/>
      <c r="I616" s="324"/>
      <c r="J616" s="324"/>
      <c r="K616" s="324"/>
      <c r="L616" s="324"/>
      <c r="M616" s="324"/>
      <c r="N616" s="324"/>
      <c r="O616" s="324"/>
      <c r="P616" s="586" t="s">
        <v>737</v>
      </c>
      <c r="Q616" s="301"/>
      <c r="R616" s="177"/>
      <c r="S616" s="403"/>
      <c r="T616" s="525" t="s">
        <v>4</v>
      </c>
      <c r="U616" s="525" t="s">
        <v>1329</v>
      </c>
      <c r="AA616" s="28"/>
      <c r="AB616" s="28"/>
      <c r="AC616" s="536"/>
      <c r="AD616" s="536"/>
    </row>
    <row r="617" spans="6:30" ht="10.5" customHeight="1">
      <c r="F617" s="347"/>
      <c r="G617" s="324"/>
      <c r="H617" s="324"/>
      <c r="I617" s="324"/>
      <c r="J617" s="324"/>
      <c r="K617" s="324"/>
      <c r="L617" s="324"/>
      <c r="M617" s="324"/>
      <c r="N617" s="324"/>
      <c r="O617" s="324"/>
      <c r="P617" s="586" t="s">
        <v>1190</v>
      </c>
      <c r="Q617" s="301"/>
      <c r="R617" s="177"/>
      <c r="S617" s="403"/>
      <c r="T617" s="525" t="s">
        <v>6</v>
      </c>
      <c r="U617" s="525" t="s">
        <v>2413</v>
      </c>
      <c r="AA617" s="28"/>
      <c r="AB617" s="28"/>
      <c r="AC617" s="997"/>
      <c r="AD617" s="536"/>
    </row>
    <row r="618" spans="6:30" ht="10.5" customHeight="1">
      <c r="F618" s="347"/>
      <c r="G618" s="324"/>
      <c r="H618" s="324"/>
      <c r="I618" s="324"/>
      <c r="J618" s="324"/>
      <c r="K618" s="324"/>
      <c r="L618" s="324"/>
      <c r="M618" s="324"/>
      <c r="N618" s="324"/>
      <c r="O618" s="324"/>
      <c r="P618" s="586" t="s">
        <v>1051</v>
      </c>
      <c r="Q618" s="301"/>
      <c r="R618" s="177"/>
      <c r="S618" s="403"/>
      <c r="T618" s="525" t="s">
        <v>8</v>
      </c>
      <c r="U618" s="525" t="s">
        <v>1932</v>
      </c>
      <c r="AA618" s="28"/>
      <c r="AB618" s="28"/>
      <c r="AC618" s="997"/>
      <c r="AD618" s="536"/>
    </row>
    <row r="619" spans="6:30" ht="10.5" customHeight="1">
      <c r="F619" s="347"/>
      <c r="G619" s="324"/>
      <c r="H619" s="324"/>
      <c r="I619" s="324"/>
      <c r="J619" s="324"/>
      <c r="K619" s="324"/>
      <c r="L619" s="324"/>
      <c r="M619" s="324"/>
      <c r="N619" s="324"/>
      <c r="O619" s="324"/>
      <c r="P619" s="586" t="s">
        <v>1052</v>
      </c>
      <c r="Q619" s="301"/>
      <c r="R619" s="177"/>
      <c r="S619" s="403"/>
      <c r="T619" s="525" t="s">
        <v>1077</v>
      </c>
      <c r="U619" s="525" t="s">
        <v>634</v>
      </c>
      <c r="AA619" s="28"/>
      <c r="AB619" s="28"/>
      <c r="AC619" s="997"/>
      <c r="AD619" s="536"/>
    </row>
    <row r="620" spans="6:30" ht="10.5" customHeight="1">
      <c r="F620" s="347"/>
      <c r="G620" s="324"/>
      <c r="H620" s="324"/>
      <c r="I620" s="324"/>
      <c r="J620" s="324"/>
      <c r="K620" s="324"/>
      <c r="L620" s="324"/>
      <c r="M620" s="324"/>
      <c r="N620" s="324"/>
      <c r="O620" s="324"/>
      <c r="P620" s="586" t="s">
        <v>1054</v>
      </c>
      <c r="Q620" s="301"/>
      <c r="R620" s="177"/>
      <c r="S620" s="403"/>
      <c r="T620" s="525" t="s">
        <v>1078</v>
      </c>
      <c r="U620" s="525" t="s">
        <v>318</v>
      </c>
      <c r="AA620" s="28"/>
      <c r="AB620" s="28"/>
      <c r="AC620" s="997"/>
      <c r="AD620" s="536"/>
    </row>
    <row r="621" spans="6:30" ht="10.5" customHeight="1">
      <c r="F621" s="347"/>
      <c r="G621" s="324"/>
      <c r="H621" s="324"/>
      <c r="I621" s="324"/>
      <c r="J621" s="324"/>
      <c r="K621" s="324"/>
      <c r="L621" s="324"/>
      <c r="M621" s="324"/>
      <c r="N621" s="324"/>
      <c r="O621" s="324"/>
      <c r="P621" s="586" t="s">
        <v>2281</v>
      </c>
      <c r="Q621" s="301"/>
      <c r="R621" s="177"/>
      <c r="S621" s="403"/>
      <c r="T621" s="525" t="s">
        <v>2158</v>
      </c>
      <c r="U621" s="525" t="s">
        <v>1339</v>
      </c>
      <c r="AA621" s="28"/>
      <c r="AB621" s="28"/>
      <c r="AC621" s="997"/>
      <c r="AD621" s="536"/>
    </row>
    <row r="622" spans="6:30" ht="10.5" customHeight="1">
      <c r="F622" s="347"/>
      <c r="G622" s="324"/>
      <c r="H622" s="324"/>
      <c r="I622" s="324"/>
      <c r="J622" s="324"/>
      <c r="K622" s="324"/>
      <c r="L622" s="324"/>
      <c r="M622" s="324"/>
      <c r="N622" s="324"/>
      <c r="O622" s="324"/>
      <c r="P622" s="586" t="s">
        <v>2283</v>
      </c>
      <c r="Q622" s="301"/>
      <c r="R622" s="177"/>
      <c r="S622" s="403"/>
      <c r="T622" s="525" t="s">
        <v>2160</v>
      </c>
      <c r="U622" s="525" t="s">
        <v>2199</v>
      </c>
      <c r="AA622" s="28"/>
      <c r="AB622" s="28"/>
      <c r="AC622" s="997"/>
      <c r="AD622" s="536"/>
    </row>
    <row r="623" spans="6:30" ht="10.5" customHeight="1">
      <c r="F623" s="347"/>
      <c r="G623" s="324"/>
      <c r="H623" s="324"/>
      <c r="I623" s="324"/>
      <c r="J623" s="324"/>
      <c r="K623" s="324"/>
      <c r="L623" s="324"/>
      <c r="M623" s="324"/>
      <c r="N623" s="324"/>
      <c r="O623" s="324"/>
      <c r="P623" s="586" t="s">
        <v>1782</v>
      </c>
      <c r="Q623" s="301"/>
      <c r="R623" s="177"/>
      <c r="S623" s="403"/>
      <c r="T623" s="525" t="s">
        <v>2162</v>
      </c>
      <c r="U623" s="525" t="s">
        <v>176</v>
      </c>
      <c r="AA623" s="28"/>
      <c r="AB623" s="28"/>
      <c r="AC623" s="997"/>
      <c r="AD623" s="536"/>
    </row>
    <row r="624" spans="6:30" ht="10.5" customHeight="1">
      <c r="F624" s="347"/>
      <c r="G624" s="324"/>
      <c r="H624" s="324"/>
      <c r="I624" s="324"/>
      <c r="J624" s="324"/>
      <c r="K624" s="324"/>
      <c r="L624" s="324"/>
      <c r="M624" s="324"/>
      <c r="N624" s="324"/>
      <c r="O624" s="324"/>
      <c r="P624" s="586" t="s">
        <v>2537</v>
      </c>
      <c r="Q624" s="301"/>
      <c r="R624" s="177"/>
      <c r="S624" s="403"/>
      <c r="T624" s="525" t="s">
        <v>2164</v>
      </c>
      <c r="U624" s="525" t="s">
        <v>1465</v>
      </c>
      <c r="AA624" s="28"/>
      <c r="AB624" s="28"/>
      <c r="AC624" s="997"/>
      <c r="AD624" s="536"/>
    </row>
    <row r="625" spans="6:30" ht="10.5" customHeight="1">
      <c r="F625" s="347"/>
      <c r="G625" s="324"/>
      <c r="H625" s="324"/>
      <c r="I625" s="324"/>
      <c r="J625" s="324"/>
      <c r="K625" s="324"/>
      <c r="L625" s="324"/>
      <c r="M625" s="324"/>
      <c r="N625" s="324"/>
      <c r="O625" s="324"/>
      <c r="P625" s="586" t="s">
        <v>2179</v>
      </c>
      <c r="Q625" s="301"/>
      <c r="R625" s="177"/>
      <c r="S625" s="403"/>
      <c r="T625" s="292" t="s">
        <v>2166</v>
      </c>
      <c r="U625" s="292" t="s">
        <v>673</v>
      </c>
      <c r="AA625" s="28"/>
      <c r="AB625" s="28"/>
      <c r="AC625" s="997"/>
      <c r="AD625" s="536"/>
    </row>
    <row r="626" spans="6:30" ht="10.5" customHeight="1">
      <c r="F626" s="347"/>
      <c r="G626" s="324"/>
      <c r="H626" s="324"/>
      <c r="I626" s="324"/>
      <c r="J626" s="324"/>
      <c r="K626" s="324"/>
      <c r="L626" s="324"/>
      <c r="M626" s="324"/>
      <c r="N626" s="324"/>
      <c r="O626" s="324"/>
      <c r="P626" s="586" t="s">
        <v>1624</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86" t="s">
        <v>1625</v>
      </c>
      <c r="Q627" s="301"/>
      <c r="R627" s="177"/>
      <c r="S627" s="403"/>
      <c r="T627" s="525" t="s">
        <v>1525</v>
      </c>
      <c r="U627" s="525" t="s">
        <v>2201</v>
      </c>
      <c r="AA627" s="28"/>
      <c r="AB627" s="28"/>
      <c r="AC627" s="997"/>
      <c r="AD627" s="536"/>
    </row>
    <row r="628" spans="6:30" ht="10.5" customHeight="1">
      <c r="F628" s="347"/>
      <c r="G628" s="324"/>
      <c r="H628" s="324"/>
      <c r="I628" s="324"/>
      <c r="J628" s="324"/>
      <c r="K628" s="324"/>
      <c r="L628" s="324"/>
      <c r="M628" s="324"/>
      <c r="N628" s="324"/>
      <c r="O628" s="324"/>
      <c r="P628" s="586" t="s">
        <v>1627</v>
      </c>
      <c r="Q628" s="301"/>
      <c r="R628" s="177"/>
      <c r="S628" s="403"/>
      <c r="T628" s="292" t="s">
        <v>1527</v>
      </c>
      <c r="U628" s="292" t="s">
        <v>201</v>
      </c>
      <c r="AA628" s="28"/>
      <c r="AB628" s="28"/>
      <c r="AC628" s="997"/>
      <c r="AD628" s="536"/>
    </row>
    <row r="629" spans="6:30" ht="10.5" customHeight="1">
      <c r="F629" s="347"/>
      <c r="G629" s="324"/>
      <c r="H629" s="324"/>
      <c r="I629" s="324"/>
      <c r="J629" s="324"/>
      <c r="K629" s="324"/>
      <c r="L629" s="324"/>
      <c r="M629" s="324"/>
      <c r="N629" s="324"/>
      <c r="O629" s="324"/>
      <c r="P629" s="586" t="s">
        <v>1628</v>
      </c>
      <c r="Q629" s="301"/>
      <c r="R629" s="177"/>
      <c r="S629" s="403"/>
      <c r="T629" s="525" t="s">
        <v>1529</v>
      </c>
      <c r="U629" s="525" t="s">
        <v>1468</v>
      </c>
      <c r="AA629" s="28"/>
      <c r="AB629" s="28"/>
      <c r="AC629" s="536"/>
      <c r="AD629" s="536"/>
    </row>
    <row r="630" spans="6:30" ht="10.5" customHeight="1">
      <c r="F630" s="347"/>
      <c r="G630" s="324"/>
      <c r="H630" s="324"/>
      <c r="I630" s="324"/>
      <c r="J630" s="324"/>
      <c r="K630" s="324"/>
      <c r="L630" s="324"/>
      <c r="M630" s="324"/>
      <c r="N630" s="324"/>
      <c r="O630" s="324"/>
      <c r="P630" s="586" t="s">
        <v>1630</v>
      </c>
      <c r="Q630" s="301"/>
      <c r="R630" s="177"/>
      <c r="S630" s="403"/>
      <c r="T630" s="525" t="s">
        <v>1531</v>
      </c>
      <c r="U630" s="525" t="s">
        <v>2191</v>
      </c>
      <c r="AA630" s="28"/>
      <c r="AB630" s="28"/>
      <c r="AC630" s="997"/>
      <c r="AD630" s="536"/>
    </row>
    <row r="631" spans="6:30" ht="10.5" customHeight="1">
      <c r="F631" s="347"/>
      <c r="G631" s="324"/>
      <c r="H631" s="324"/>
      <c r="I631" s="324"/>
      <c r="J631" s="324"/>
      <c r="K631" s="324"/>
      <c r="L631" s="324"/>
      <c r="M631" s="324"/>
      <c r="N631" s="324"/>
      <c r="O631" s="324"/>
      <c r="P631" s="586" t="s">
        <v>1631</v>
      </c>
      <c r="Q631" s="301"/>
      <c r="R631" s="177"/>
      <c r="S631" s="403"/>
      <c r="T631" s="525" t="s">
        <v>64</v>
      </c>
      <c r="U631" s="525" t="s">
        <v>1337</v>
      </c>
      <c r="AA631" s="28"/>
      <c r="AB631" s="28"/>
      <c r="AC631" s="997"/>
      <c r="AD631" s="536"/>
    </row>
    <row r="632" spans="6:30" ht="10.5" customHeight="1">
      <c r="F632" s="347"/>
      <c r="G632" s="324"/>
      <c r="H632" s="324"/>
      <c r="I632" s="324"/>
      <c r="J632" s="324"/>
      <c r="K632" s="324"/>
      <c r="L632" s="324"/>
      <c r="M632" s="324"/>
      <c r="N632" s="324"/>
      <c r="O632" s="324"/>
      <c r="P632" s="586" t="s">
        <v>1633</v>
      </c>
      <c r="Q632" s="301"/>
      <c r="R632" s="177"/>
      <c r="S632" s="403"/>
      <c r="T632" s="525" t="s">
        <v>66</v>
      </c>
      <c r="U632" s="525" t="s">
        <v>107</v>
      </c>
      <c r="AA632" s="28"/>
      <c r="AB632" s="28"/>
      <c r="AC632" s="997"/>
      <c r="AD632" s="536"/>
    </row>
    <row r="633" spans="6:30" ht="10.5" customHeight="1">
      <c r="F633" s="347"/>
      <c r="G633" s="324"/>
      <c r="H633" s="324"/>
      <c r="I633" s="324"/>
      <c r="J633" s="324"/>
      <c r="K633" s="324"/>
      <c r="L633" s="324"/>
      <c r="M633" s="324"/>
      <c r="N633" s="324"/>
      <c r="O633" s="324"/>
      <c r="P633" s="586" t="s">
        <v>2433</v>
      </c>
      <c r="Q633" s="301"/>
      <c r="R633" s="177"/>
      <c r="S633" s="403"/>
      <c r="T633" s="525" t="s">
        <v>68</v>
      </c>
      <c r="U633" s="525" t="s">
        <v>886</v>
      </c>
      <c r="AA633" s="28"/>
      <c r="AB633" s="28"/>
      <c r="AC633" s="997"/>
      <c r="AD633" s="536"/>
    </row>
    <row r="634" spans="6:30" ht="10.5" customHeight="1">
      <c r="F634" s="347"/>
      <c r="G634" s="324"/>
      <c r="H634" s="324"/>
      <c r="I634" s="324"/>
      <c r="J634" s="324"/>
      <c r="K634" s="324"/>
      <c r="L634" s="324"/>
      <c r="M634" s="324"/>
      <c r="N634" s="324"/>
      <c r="O634" s="324"/>
      <c r="P634" s="586" t="s">
        <v>168</v>
      </c>
      <c r="Q634" s="301"/>
      <c r="R634" s="177"/>
      <c r="S634" s="403"/>
      <c r="T634" s="525" t="s">
        <v>70</v>
      </c>
      <c r="U634" s="525" t="s">
        <v>1532</v>
      </c>
      <c r="AA634" s="28"/>
      <c r="AB634" s="28"/>
      <c r="AC634" s="997"/>
      <c r="AD634" s="536"/>
    </row>
    <row r="635" spans="6:30" ht="10.5" customHeight="1">
      <c r="F635" s="347"/>
      <c r="G635" s="324"/>
      <c r="H635" s="324"/>
      <c r="I635" s="324"/>
      <c r="J635" s="324"/>
      <c r="K635" s="324"/>
      <c r="L635" s="324"/>
      <c r="M635" s="324"/>
      <c r="N635" s="324"/>
      <c r="O635" s="324"/>
      <c r="P635" s="586" t="s">
        <v>997</v>
      </c>
      <c r="Q635" s="301"/>
      <c r="R635" s="177"/>
      <c r="S635" s="403"/>
      <c r="T635" s="525" t="s">
        <v>785</v>
      </c>
      <c r="U635" s="525" t="s">
        <v>2499</v>
      </c>
      <c r="AA635" s="28"/>
      <c r="AB635" s="28"/>
      <c r="AC635" s="997"/>
      <c r="AD635" s="536"/>
    </row>
    <row r="636" spans="6:30" ht="10.5" customHeight="1">
      <c r="F636" s="347"/>
      <c r="G636" s="324"/>
      <c r="H636" s="324"/>
      <c r="I636" s="324"/>
      <c r="J636" s="324"/>
      <c r="K636" s="324"/>
      <c r="L636" s="324"/>
      <c r="M636" s="324"/>
      <c r="N636" s="324"/>
      <c r="O636" s="324"/>
      <c r="P636" s="586" t="s">
        <v>998</v>
      </c>
      <c r="Q636" s="301"/>
      <c r="R636" s="177"/>
      <c r="S636" s="403"/>
      <c r="T636" s="292" t="s">
        <v>736</v>
      </c>
      <c r="U636" s="292" t="s">
        <v>2505</v>
      </c>
      <c r="AA636" s="28"/>
      <c r="AB636" s="28"/>
      <c r="AC636" s="997"/>
      <c r="AD636" s="536"/>
    </row>
    <row r="637" spans="6:30" ht="10.5" customHeight="1">
      <c r="F637" s="347"/>
      <c r="G637" s="324"/>
      <c r="H637" s="324"/>
      <c r="I637" s="324"/>
      <c r="J637" s="324"/>
      <c r="K637" s="324"/>
      <c r="L637" s="324"/>
      <c r="M637" s="324"/>
      <c r="N637" s="324"/>
      <c r="O637" s="324"/>
      <c r="P637" s="586" t="s">
        <v>1000</v>
      </c>
      <c r="Q637" s="301"/>
      <c r="R637" s="177"/>
      <c r="S637" s="403"/>
      <c r="T637" s="525" t="s">
        <v>950</v>
      </c>
      <c r="U637" s="525" t="s">
        <v>2549</v>
      </c>
      <c r="AA637" s="28"/>
      <c r="AB637" s="28"/>
      <c r="AC637" s="536"/>
      <c r="AD637" s="536"/>
    </row>
    <row r="638" spans="6:30" ht="10.5" customHeight="1">
      <c r="F638" s="347"/>
      <c r="G638" s="324"/>
      <c r="H638" s="324"/>
      <c r="I638" s="324"/>
      <c r="J638" s="324"/>
      <c r="K638" s="324"/>
      <c r="L638" s="324"/>
      <c r="M638" s="324"/>
      <c r="N638" s="324"/>
      <c r="O638" s="324"/>
      <c r="P638" s="586" t="s">
        <v>2396</v>
      </c>
      <c r="Q638" s="301"/>
      <c r="R638" s="177"/>
      <c r="S638" s="403"/>
      <c r="T638" s="525" t="s">
        <v>1079</v>
      </c>
      <c r="U638" s="525" t="s">
        <v>322</v>
      </c>
      <c r="AA638" s="28"/>
      <c r="AB638" s="28"/>
      <c r="AC638" s="997"/>
      <c r="AD638" s="536"/>
    </row>
    <row r="639" spans="6:30" ht="10.5" customHeight="1">
      <c r="F639" s="347"/>
      <c r="G639" s="324"/>
      <c r="H639" s="324"/>
      <c r="I639" s="324"/>
      <c r="J639" s="324"/>
      <c r="K639" s="324"/>
      <c r="L639" s="324"/>
      <c r="M639" s="324"/>
      <c r="N639" s="324"/>
      <c r="O639" s="324"/>
      <c r="P639" s="586" t="s">
        <v>2542</v>
      </c>
      <c r="Q639" s="301"/>
      <c r="R639" s="177"/>
      <c r="S639" s="403"/>
      <c r="T639" s="525" t="s">
        <v>1191</v>
      </c>
      <c r="U639" s="525" t="s">
        <v>1966</v>
      </c>
      <c r="AA639" s="28"/>
      <c r="AB639" s="28"/>
      <c r="AC639" s="997"/>
      <c r="AD639" s="536"/>
    </row>
    <row r="640" spans="6:30" ht="10.5" customHeight="1">
      <c r="F640" s="347"/>
      <c r="G640" s="324"/>
      <c r="H640" s="324"/>
      <c r="I640" s="324"/>
      <c r="J640" s="324"/>
      <c r="K640" s="324"/>
      <c r="L640" s="324"/>
      <c r="M640" s="324"/>
      <c r="N640" s="324"/>
      <c r="O640" s="324"/>
      <c r="P640" s="586" t="s">
        <v>2017</v>
      </c>
      <c r="Q640" s="301"/>
      <c r="R640" s="177"/>
      <c r="S640" s="403"/>
      <c r="T640" s="525" t="s">
        <v>2888</v>
      </c>
      <c r="U640" s="525" t="s">
        <v>1792</v>
      </c>
      <c r="AA640" s="28"/>
      <c r="AB640" s="28"/>
      <c r="AC640" s="997"/>
      <c r="AD640" s="536"/>
    </row>
    <row r="641" spans="6:30" ht="10.5" customHeight="1">
      <c r="F641" s="347"/>
      <c r="G641" s="324"/>
      <c r="H641" s="324"/>
      <c r="I641" s="324"/>
      <c r="J641" s="324"/>
      <c r="K641" s="324"/>
      <c r="L641" s="324"/>
      <c r="M641" s="324"/>
      <c r="N641" s="324"/>
      <c r="O641" s="324"/>
      <c r="P641" s="586" t="s">
        <v>953</v>
      </c>
      <c r="Q641" s="301"/>
      <c r="R641" s="177"/>
      <c r="S641" s="403"/>
      <c r="T641" s="292" t="s">
        <v>1053</v>
      </c>
      <c r="U641" s="292" t="s">
        <v>1107</v>
      </c>
      <c r="AA641" s="28"/>
      <c r="AB641" s="28"/>
      <c r="AC641" s="997"/>
      <c r="AD641" s="536"/>
    </row>
    <row r="642" spans="6:30" ht="10.5" customHeight="1">
      <c r="F642" s="347"/>
      <c r="G642" s="324"/>
      <c r="H642" s="324"/>
      <c r="I642" s="324"/>
      <c r="J642" s="324"/>
      <c r="K642" s="324"/>
      <c r="L642" s="324"/>
      <c r="M642" s="324"/>
      <c r="N642" s="324"/>
      <c r="O642" s="324"/>
      <c r="P642" s="586" t="s">
        <v>779</v>
      </c>
      <c r="Q642" s="301"/>
      <c r="R642" s="177"/>
      <c r="S642" s="403"/>
      <c r="T642" s="525" t="s">
        <v>2282</v>
      </c>
      <c r="U642" s="525" t="s">
        <v>2184</v>
      </c>
      <c r="AA642" s="28"/>
      <c r="AB642" s="28"/>
      <c r="AC642" s="536"/>
      <c r="AD642" s="536"/>
    </row>
    <row r="643" spans="6:30" ht="10.5" customHeight="1">
      <c r="F643" s="347"/>
      <c r="G643" s="324"/>
      <c r="H643" s="324"/>
      <c r="I643" s="324"/>
      <c r="J643" s="324"/>
      <c r="K643" s="324"/>
      <c r="L643" s="324"/>
      <c r="M643" s="324"/>
      <c r="N643" s="324"/>
      <c r="O643" s="324"/>
      <c r="P643" s="586" t="s">
        <v>1480</v>
      </c>
      <c r="Q643" s="301"/>
      <c r="R643" s="177"/>
      <c r="S643" s="403"/>
      <c r="T643" s="525" t="s">
        <v>2284</v>
      </c>
      <c r="U643" s="525" t="s">
        <v>664</v>
      </c>
      <c r="AA643" s="28"/>
      <c r="AB643" s="28"/>
      <c r="AC643" s="997"/>
      <c r="AD643" s="536"/>
    </row>
    <row r="644" spans="6:30" ht="10.5" customHeight="1">
      <c r="F644" s="347"/>
      <c r="G644" s="324"/>
      <c r="H644" s="324"/>
      <c r="I644" s="324"/>
      <c r="J644" s="324"/>
      <c r="K644" s="324"/>
      <c r="L644" s="324"/>
      <c r="M644" s="324"/>
      <c r="N644" s="324"/>
      <c r="O644" s="324"/>
      <c r="P644" s="586" t="s">
        <v>1482</v>
      </c>
      <c r="Q644" s="301"/>
      <c r="R644" s="177"/>
      <c r="S644" s="403"/>
      <c r="T644" s="525" t="s">
        <v>1783</v>
      </c>
      <c r="U644" s="525" t="s">
        <v>741</v>
      </c>
      <c r="AA644" s="28"/>
      <c r="AB644" s="28"/>
      <c r="AC644" s="997"/>
      <c r="AD644" s="536"/>
    </row>
    <row r="645" spans="6:30" ht="10.5" customHeight="1">
      <c r="F645" s="347"/>
      <c r="G645" s="324"/>
      <c r="H645" s="324"/>
      <c r="I645" s="324"/>
      <c r="J645" s="324"/>
      <c r="K645" s="324"/>
      <c r="L645" s="324"/>
      <c r="M645" s="324"/>
      <c r="N645" s="324"/>
      <c r="O645" s="324"/>
      <c r="P645" s="586" t="s">
        <v>1484</v>
      </c>
      <c r="Q645" s="301"/>
      <c r="R645" s="177"/>
      <c r="S645" s="403"/>
      <c r="T645" s="525" t="s">
        <v>2538</v>
      </c>
      <c r="U645" s="525" t="s">
        <v>2023</v>
      </c>
      <c r="AA645" s="28"/>
      <c r="AB645" s="28"/>
      <c r="AC645" s="997"/>
      <c r="AD645" s="536"/>
    </row>
    <row r="646" spans="6:30" ht="10.5" customHeight="1">
      <c r="F646" s="347"/>
      <c r="G646" s="324"/>
      <c r="H646" s="324"/>
      <c r="I646" s="324"/>
      <c r="J646" s="324"/>
      <c r="K646" s="324"/>
      <c r="L646" s="324"/>
      <c r="M646" s="324"/>
      <c r="N646" s="324"/>
      <c r="O646" s="324"/>
      <c r="P646" s="586" t="s">
        <v>1317</v>
      </c>
      <c r="Q646" s="301"/>
      <c r="R646" s="177"/>
      <c r="S646" s="403"/>
      <c r="T646" s="525" t="s">
        <v>2180</v>
      </c>
      <c r="U646" s="525" t="s">
        <v>1218</v>
      </c>
      <c r="AA646" s="28"/>
      <c r="AB646" s="28"/>
      <c r="AC646" s="997"/>
      <c r="AD646" s="536"/>
    </row>
    <row r="647" spans="6:30" ht="10.5" customHeight="1">
      <c r="F647" s="347"/>
      <c r="G647" s="324"/>
      <c r="H647" s="324"/>
      <c r="I647" s="324"/>
      <c r="J647" s="324"/>
      <c r="K647" s="324"/>
      <c r="L647" s="324"/>
      <c r="M647" s="324"/>
      <c r="N647" s="324"/>
      <c r="O647" s="324"/>
      <c r="P647" s="586" t="s">
        <v>1319</v>
      </c>
      <c r="Q647" s="301"/>
      <c r="R647" s="177"/>
      <c r="S647" s="403"/>
      <c r="T647" s="292" t="s">
        <v>1626</v>
      </c>
      <c r="U647" s="292" t="s">
        <v>666</v>
      </c>
      <c r="AA647" s="28"/>
      <c r="AB647" s="28"/>
      <c r="AC647" s="997"/>
      <c r="AD647" s="536"/>
    </row>
    <row r="648" spans="6:30" ht="10.5" customHeight="1">
      <c r="F648" s="347"/>
      <c r="G648" s="324"/>
      <c r="H648" s="324"/>
      <c r="I648" s="324"/>
      <c r="J648" s="324"/>
      <c r="K648" s="324"/>
      <c r="L648" s="324"/>
      <c r="M648" s="324"/>
      <c r="N648" s="324"/>
      <c r="O648" s="324"/>
      <c r="P648" s="586" t="s">
        <v>2007</v>
      </c>
      <c r="Q648" s="301"/>
      <c r="R648" s="177"/>
      <c r="S648" s="403"/>
      <c r="T648" s="525" t="s">
        <v>840</v>
      </c>
      <c r="U648" s="525" t="s">
        <v>1325</v>
      </c>
      <c r="AA648" s="28"/>
      <c r="AB648" s="28"/>
      <c r="AC648" s="536"/>
      <c r="AD648" s="536"/>
    </row>
    <row r="649" spans="6:30" ht="10.5" customHeight="1">
      <c r="F649" s="347"/>
      <c r="G649" s="324"/>
      <c r="H649" s="324"/>
      <c r="I649" s="324"/>
      <c r="J649" s="324"/>
      <c r="K649" s="324"/>
      <c r="L649" s="324"/>
      <c r="M649" s="324"/>
      <c r="N649" s="324"/>
      <c r="O649" s="324"/>
      <c r="P649" s="586" t="s">
        <v>742</v>
      </c>
      <c r="Q649" s="301"/>
      <c r="R649" s="177"/>
      <c r="S649" s="403"/>
      <c r="T649" s="525" t="s">
        <v>1629</v>
      </c>
      <c r="U649" s="525" t="s">
        <v>2601</v>
      </c>
      <c r="AA649" s="28"/>
      <c r="AB649" s="28"/>
      <c r="AC649" s="997"/>
      <c r="AD649" s="536"/>
    </row>
    <row r="650" spans="6:30" ht="10.5" customHeight="1">
      <c r="F650" s="347"/>
      <c r="G650" s="324"/>
      <c r="H650" s="324"/>
      <c r="I650" s="324"/>
      <c r="J650" s="324"/>
      <c r="K650" s="324"/>
      <c r="L650" s="324"/>
      <c r="M650" s="324"/>
      <c r="N650" s="324"/>
      <c r="O650" s="324"/>
      <c r="P650" s="586" t="s">
        <v>1278</v>
      </c>
      <c r="Q650" s="301"/>
      <c r="R650" s="177"/>
      <c r="S650" s="403"/>
      <c r="T650" s="525" t="s">
        <v>1632</v>
      </c>
      <c r="U650" s="525" t="s">
        <v>1646</v>
      </c>
      <c r="AA650" s="28"/>
      <c r="AB650" s="28"/>
      <c r="AC650" s="997"/>
      <c r="AD650" s="536"/>
    </row>
    <row r="651" spans="6:30" ht="10.5" customHeight="1">
      <c r="F651" s="347"/>
      <c r="G651" s="324"/>
      <c r="H651" s="324"/>
      <c r="I651" s="324"/>
      <c r="J651" s="324"/>
      <c r="K651" s="324"/>
      <c r="L651" s="324"/>
      <c r="M651" s="324"/>
      <c r="N651" s="324"/>
      <c r="O651" s="324"/>
      <c r="P651" s="586" t="s">
        <v>1897</v>
      </c>
      <c r="Q651" s="301"/>
      <c r="R651" s="177"/>
      <c r="S651" s="403"/>
      <c r="T651" s="525" t="s">
        <v>1081</v>
      </c>
      <c r="U651" s="525" t="s">
        <v>1532</v>
      </c>
      <c r="AA651" s="28"/>
      <c r="AB651" s="28"/>
      <c r="AC651" s="997"/>
      <c r="AD651" s="536"/>
    </row>
    <row r="652" spans="6:30" ht="10.5" customHeight="1">
      <c r="F652" s="347"/>
      <c r="G652" s="324"/>
      <c r="H652" s="324"/>
      <c r="I652" s="324"/>
      <c r="J652" s="324"/>
      <c r="K652" s="324"/>
      <c r="L652" s="324"/>
      <c r="M652" s="324"/>
      <c r="N652" s="324"/>
      <c r="O652" s="324"/>
      <c r="P652" s="586" t="s">
        <v>1898</v>
      </c>
      <c r="Q652" s="301"/>
      <c r="R652" s="177"/>
      <c r="S652" s="403"/>
      <c r="T652" s="525" t="s">
        <v>2432</v>
      </c>
      <c r="U652" s="525" t="s">
        <v>107</v>
      </c>
      <c r="AA652" s="28"/>
      <c r="AB652" s="28"/>
      <c r="AC652" s="997"/>
      <c r="AD652" s="536"/>
    </row>
    <row r="653" spans="6:30" ht="10.5" customHeight="1">
      <c r="F653" s="347"/>
      <c r="G653" s="324"/>
      <c r="H653" s="324"/>
      <c r="I653" s="324"/>
      <c r="J653" s="324"/>
      <c r="K653" s="324"/>
      <c r="L653" s="324"/>
      <c r="M653" s="324"/>
      <c r="N653" s="324"/>
      <c r="O653" s="324"/>
      <c r="P653" s="586" t="s">
        <v>1900</v>
      </c>
      <c r="Q653" s="301"/>
      <c r="R653" s="177"/>
      <c r="S653" s="403"/>
      <c r="T653" s="525" t="s">
        <v>823</v>
      </c>
      <c r="U653" s="525" t="s">
        <v>1218</v>
      </c>
      <c r="AA653" s="28"/>
      <c r="AB653" s="28"/>
      <c r="AC653" s="997"/>
      <c r="AD653" s="536"/>
    </row>
    <row r="654" spans="6:30" ht="10.5" customHeight="1">
      <c r="F654" s="347"/>
      <c r="G654" s="324"/>
      <c r="H654" s="324"/>
      <c r="I654" s="324"/>
      <c r="J654" s="324"/>
      <c r="K654" s="324"/>
      <c r="L654" s="324"/>
      <c r="M654" s="324"/>
      <c r="N654" s="324"/>
      <c r="O654" s="324"/>
      <c r="P654" s="586" t="s">
        <v>1902</v>
      </c>
      <c r="Q654" s="301"/>
      <c r="R654" s="177"/>
      <c r="S654" s="403"/>
      <c r="T654" s="525" t="s">
        <v>1315</v>
      </c>
      <c r="U654" s="525" t="s">
        <v>1924</v>
      </c>
      <c r="AA654" s="28"/>
      <c r="AB654" s="28"/>
      <c r="AC654" s="997"/>
      <c r="AD654" s="536"/>
    </row>
    <row r="655" spans="6:30" ht="10.5" customHeight="1">
      <c r="F655" s="347"/>
      <c r="G655" s="324"/>
      <c r="H655" s="324"/>
      <c r="I655" s="324"/>
      <c r="J655" s="324"/>
      <c r="K655" s="324"/>
      <c r="L655" s="324"/>
      <c r="M655" s="324"/>
      <c r="N655" s="324"/>
      <c r="O655" s="324"/>
      <c r="P655" s="586" t="s">
        <v>1904</v>
      </c>
      <c r="Q655" s="301"/>
      <c r="R655" s="177"/>
      <c r="S655" s="403"/>
      <c r="T655" s="525" t="s">
        <v>169</v>
      </c>
      <c r="U655" s="525" t="s">
        <v>1341</v>
      </c>
      <c r="AA655" s="28"/>
      <c r="AB655" s="28"/>
      <c r="AC655" s="997"/>
      <c r="AD655" s="536"/>
    </row>
    <row r="656" spans="6:30" ht="10.5" customHeight="1">
      <c r="F656" s="347"/>
      <c r="G656" s="324"/>
      <c r="H656" s="324"/>
      <c r="I656" s="324"/>
      <c r="J656" s="324"/>
      <c r="K656" s="324"/>
      <c r="L656" s="324"/>
      <c r="M656" s="324"/>
      <c r="N656" s="324"/>
      <c r="O656" s="324"/>
      <c r="P656" s="586" t="s">
        <v>506</v>
      </c>
      <c r="Q656" s="301"/>
      <c r="R656" s="177"/>
      <c r="S656" s="403"/>
      <c r="T656" s="525" t="s">
        <v>999</v>
      </c>
      <c r="U656" s="525" t="s">
        <v>1678</v>
      </c>
      <c r="AA656" s="28"/>
      <c r="AB656" s="28"/>
      <c r="AC656" s="997"/>
      <c r="AD656" s="536"/>
    </row>
    <row r="657" spans="6:30" ht="10.5" customHeight="1">
      <c r="F657" s="347"/>
      <c r="G657" s="324"/>
      <c r="H657" s="324"/>
      <c r="I657" s="324"/>
      <c r="J657" s="324"/>
      <c r="K657" s="324"/>
      <c r="L657" s="324"/>
      <c r="M657" s="324"/>
      <c r="N657" s="324"/>
      <c r="O657" s="324"/>
      <c r="P657" s="586" t="s">
        <v>2552</v>
      </c>
      <c r="Q657" s="301"/>
      <c r="R657" s="177"/>
      <c r="S657" s="403"/>
      <c r="T657" s="525" t="s">
        <v>2889</v>
      </c>
      <c r="U657" s="525" t="s">
        <v>328</v>
      </c>
      <c r="AA657" s="28"/>
      <c r="AB657" s="28"/>
      <c r="AC657" s="997"/>
      <c r="AD657" s="536"/>
    </row>
    <row r="658" spans="6:30" ht="10.5" customHeight="1">
      <c r="F658" s="347"/>
      <c r="G658" s="324"/>
      <c r="H658" s="324"/>
      <c r="I658" s="324"/>
      <c r="J658" s="324"/>
      <c r="K658" s="324"/>
      <c r="L658" s="324"/>
      <c r="M658" s="324"/>
      <c r="N658" s="324"/>
      <c r="O658" s="324"/>
      <c r="P658" s="586" t="s">
        <v>2554</v>
      </c>
      <c r="Q658" s="301"/>
      <c r="R658" s="177"/>
      <c r="S658" s="403"/>
      <c r="T658" s="292" t="s">
        <v>2890</v>
      </c>
      <c r="U658" s="292" t="s">
        <v>115</v>
      </c>
      <c r="AA658" s="28"/>
      <c r="AB658" s="28"/>
      <c r="AC658" s="997"/>
      <c r="AD658" s="536"/>
    </row>
    <row r="659" spans="6:30" ht="10.5" customHeight="1">
      <c r="F659" s="347"/>
      <c r="G659" s="324"/>
      <c r="H659" s="324"/>
      <c r="I659" s="324"/>
      <c r="J659" s="324"/>
      <c r="K659" s="324"/>
      <c r="L659" s="324"/>
      <c r="M659" s="324"/>
      <c r="N659" s="324"/>
      <c r="O659" s="324"/>
      <c r="P659" s="586" t="s">
        <v>1164</v>
      </c>
      <c r="Q659" s="301"/>
      <c r="R659" s="177"/>
      <c r="S659" s="403"/>
      <c r="T659" s="525" t="s">
        <v>1338</v>
      </c>
      <c r="U659" s="525" t="s">
        <v>160</v>
      </c>
      <c r="AA659" s="28"/>
      <c r="AB659" s="28"/>
      <c r="AC659" s="536"/>
      <c r="AD659" s="536"/>
    </row>
    <row r="660" spans="6:30" ht="10.5" customHeight="1">
      <c r="F660" s="347"/>
      <c r="G660" s="324"/>
      <c r="H660" s="324"/>
      <c r="I660" s="324"/>
      <c r="J660" s="324"/>
      <c r="K660" s="324"/>
      <c r="L660" s="324"/>
      <c r="M660" s="324"/>
      <c r="N660" s="324"/>
      <c r="O660" s="324"/>
      <c r="P660" s="586" t="s">
        <v>2533</v>
      </c>
      <c r="Q660" s="301"/>
      <c r="R660" s="177"/>
      <c r="S660" s="403"/>
      <c r="T660" s="525" t="s">
        <v>2543</v>
      </c>
      <c r="U660" s="525" t="s">
        <v>880</v>
      </c>
      <c r="AA660" s="28"/>
      <c r="AB660" s="28"/>
      <c r="AC660" s="997"/>
      <c r="AD660" s="536"/>
    </row>
    <row r="661" spans="6:30" ht="10.5" customHeight="1">
      <c r="F661" s="347"/>
      <c r="G661" s="324"/>
      <c r="H661" s="324"/>
      <c r="I661" s="324"/>
      <c r="J661" s="324"/>
      <c r="K661" s="324"/>
      <c r="L661" s="324"/>
      <c r="M661" s="324"/>
      <c r="N661" s="324"/>
      <c r="O661" s="324"/>
      <c r="P661" s="586" t="s">
        <v>2535</v>
      </c>
      <c r="Q661" s="301"/>
      <c r="R661" s="177"/>
      <c r="S661" s="403"/>
      <c r="T661" s="525" t="s">
        <v>1082</v>
      </c>
      <c r="U661" s="525" t="s">
        <v>634</v>
      </c>
      <c r="AA661" s="28"/>
      <c r="AB661" s="28"/>
      <c r="AC661" s="997"/>
      <c r="AD661" s="536"/>
    </row>
    <row r="662" spans="6:30" ht="10.5" customHeight="1">
      <c r="F662" s="347"/>
      <c r="G662" s="324"/>
      <c r="H662" s="324"/>
      <c r="I662" s="324"/>
      <c r="J662" s="324"/>
      <c r="K662" s="324"/>
      <c r="L662" s="324"/>
      <c r="M662" s="324"/>
      <c r="N662" s="324"/>
      <c r="O662" s="324"/>
      <c r="P662" s="586" t="s">
        <v>1543</v>
      </c>
      <c r="Q662" s="301"/>
      <c r="R662" s="177"/>
      <c r="S662" s="403"/>
      <c r="T662" s="525" t="s">
        <v>2184</v>
      </c>
      <c r="U662" s="525" t="s">
        <v>109</v>
      </c>
      <c r="AA662" s="28"/>
      <c r="AB662" s="28"/>
      <c r="AC662" s="997"/>
      <c r="AD662" s="536"/>
    </row>
    <row r="663" spans="6:30" ht="10.5" customHeight="1">
      <c r="F663" s="347"/>
      <c r="G663" s="324"/>
      <c r="H663" s="324"/>
      <c r="I663" s="324"/>
      <c r="J663" s="324"/>
      <c r="K663" s="324"/>
      <c r="L663" s="324"/>
      <c r="M663" s="324"/>
      <c r="N663" s="324"/>
      <c r="O663" s="324"/>
      <c r="P663" s="586" t="s">
        <v>1544</v>
      </c>
      <c r="Q663" s="301"/>
      <c r="R663" s="177"/>
      <c r="S663" s="403"/>
      <c r="T663" s="525" t="s">
        <v>2784</v>
      </c>
      <c r="U663" s="525" t="s">
        <v>1620</v>
      </c>
      <c r="AA663" s="28"/>
      <c r="AB663" s="28"/>
      <c r="AC663" s="997"/>
      <c r="AD663" s="536"/>
    </row>
    <row r="664" spans="6:30" ht="10.5" customHeight="1">
      <c r="F664" s="347"/>
      <c r="G664" s="324"/>
      <c r="H664" s="324"/>
      <c r="I664" s="324"/>
      <c r="J664" s="324"/>
      <c r="K664" s="324"/>
      <c r="L664" s="324"/>
      <c r="M664" s="324"/>
      <c r="N664" s="324"/>
      <c r="O664" s="324"/>
      <c r="P664" s="586" t="s">
        <v>2116</v>
      </c>
      <c r="Q664" s="301"/>
      <c r="R664" s="177"/>
      <c r="S664" s="403"/>
      <c r="T664" s="525" t="s">
        <v>1481</v>
      </c>
      <c r="U664" s="525" t="s">
        <v>2548</v>
      </c>
      <c r="AA664" s="28"/>
      <c r="AB664" s="28"/>
      <c r="AC664" s="997"/>
      <c r="AD664" s="536"/>
    </row>
    <row r="665" spans="6:30" ht="10.5" customHeight="1">
      <c r="F665" s="347"/>
      <c r="G665" s="324"/>
      <c r="H665" s="324"/>
      <c r="I665" s="324"/>
      <c r="J665" s="324"/>
      <c r="K665" s="324"/>
      <c r="L665" s="324"/>
      <c r="M665" s="324"/>
      <c r="N665" s="324"/>
      <c r="O665" s="324"/>
      <c r="P665" s="586" t="s">
        <v>2117</v>
      </c>
      <c r="Q665" s="301"/>
      <c r="R665" s="177"/>
      <c r="S665" s="403"/>
      <c r="T665" s="525" t="s">
        <v>2891</v>
      </c>
      <c r="U665" s="525" t="s">
        <v>1966</v>
      </c>
      <c r="AA665" s="28"/>
      <c r="AB665" s="28"/>
      <c r="AC665" s="997"/>
      <c r="AD665" s="536"/>
    </row>
    <row r="666" spans="6:30" ht="10.5" customHeight="1">
      <c r="F666" s="347"/>
      <c r="G666" s="324"/>
      <c r="H666" s="324"/>
      <c r="I666" s="324"/>
      <c r="J666" s="324"/>
      <c r="K666" s="324"/>
      <c r="L666" s="324"/>
      <c r="M666" s="324"/>
      <c r="N666" s="324"/>
      <c r="O666" s="324"/>
      <c r="P666" s="586" t="s">
        <v>1634</v>
      </c>
      <c r="Q666" s="301"/>
      <c r="R666" s="177"/>
      <c r="S666" s="403"/>
      <c r="T666" s="525" t="s">
        <v>1483</v>
      </c>
      <c r="U666" s="525" t="s">
        <v>327</v>
      </c>
      <c r="AA666" s="28"/>
      <c r="AB666" s="28"/>
      <c r="AC666" s="997"/>
      <c r="AD666" s="536"/>
    </row>
    <row r="667" spans="6:30" ht="10.5" customHeight="1">
      <c r="F667" s="347"/>
      <c r="G667" s="324"/>
      <c r="H667" s="324"/>
      <c r="I667" s="324"/>
      <c r="J667" s="324"/>
      <c r="K667" s="324"/>
      <c r="L667" s="324"/>
      <c r="M667" s="324"/>
      <c r="N667" s="324"/>
      <c r="O667" s="324"/>
      <c r="P667" s="586" t="s">
        <v>1636</v>
      </c>
      <c r="Q667" s="301"/>
      <c r="R667" s="177"/>
      <c r="S667" s="403"/>
      <c r="T667" s="525" t="s">
        <v>1083</v>
      </c>
      <c r="U667" s="525" t="s">
        <v>664</v>
      </c>
      <c r="AA667" s="28"/>
      <c r="AB667" s="28"/>
      <c r="AC667" s="997"/>
      <c r="AD667" s="536"/>
    </row>
    <row r="668" spans="6:30" ht="10.5" customHeight="1">
      <c r="F668" s="347"/>
      <c r="G668" s="324"/>
      <c r="H668" s="324"/>
      <c r="I668" s="324"/>
      <c r="J668" s="324"/>
      <c r="K668" s="324"/>
      <c r="L668" s="324"/>
      <c r="M668" s="324"/>
      <c r="N668" s="324"/>
      <c r="O668" s="324"/>
      <c r="P668" s="586" t="s">
        <v>945</v>
      </c>
      <c r="Q668" s="301"/>
      <c r="R668" s="177"/>
      <c r="S668" s="403"/>
      <c r="T668" s="525" t="s">
        <v>1318</v>
      </c>
      <c r="U668" s="525" t="s">
        <v>2197</v>
      </c>
      <c r="AA668" s="28"/>
      <c r="AB668" s="28"/>
      <c r="AC668" s="997"/>
      <c r="AD668" s="536"/>
    </row>
    <row r="669" spans="6:30" ht="10.5" customHeight="1">
      <c r="F669" s="347"/>
      <c r="G669" s="324"/>
      <c r="H669" s="324"/>
      <c r="I669" s="324"/>
      <c r="J669" s="324"/>
      <c r="K669" s="324"/>
      <c r="L669" s="324"/>
      <c r="M669" s="324"/>
      <c r="N669" s="324"/>
      <c r="O669" s="324"/>
      <c r="P669" s="586" t="s">
        <v>947</v>
      </c>
      <c r="Q669" s="301"/>
      <c r="R669" s="177"/>
      <c r="S669" s="403"/>
      <c r="T669" s="525" t="s">
        <v>1320</v>
      </c>
      <c r="U669" s="525" t="s">
        <v>2548</v>
      </c>
      <c r="AA669" s="28"/>
      <c r="AB669" s="28"/>
      <c r="AC669" s="997"/>
      <c r="AD669" s="536"/>
    </row>
    <row r="670" spans="6:30" ht="10.5" customHeight="1">
      <c r="F670" s="347"/>
      <c r="G670" s="324"/>
      <c r="H670" s="324"/>
      <c r="I670" s="324"/>
      <c r="J670" s="324"/>
      <c r="K670" s="324"/>
      <c r="L670" s="324"/>
      <c r="M670" s="324"/>
      <c r="N670" s="324"/>
      <c r="O670" s="324"/>
      <c r="P670" s="586" t="s">
        <v>949</v>
      </c>
      <c r="Q670" s="301"/>
      <c r="R670" s="177"/>
      <c r="S670" s="403"/>
      <c r="T670" s="292" t="s">
        <v>2008</v>
      </c>
      <c r="U670" s="292" t="s">
        <v>1117</v>
      </c>
      <c r="AA670" s="28"/>
      <c r="AB670" s="28"/>
      <c r="AC670" s="997"/>
      <c r="AD670" s="536"/>
    </row>
    <row r="671" spans="6:30" ht="10.5" customHeight="1">
      <c r="F671" s="347"/>
      <c r="G671" s="324"/>
      <c r="H671" s="324"/>
      <c r="I671" s="324"/>
      <c r="J671" s="324"/>
      <c r="K671" s="324"/>
      <c r="L671" s="324"/>
      <c r="M671" s="324"/>
      <c r="N671" s="324"/>
      <c r="O671" s="324"/>
      <c r="P671" s="586" t="s">
        <v>2517</v>
      </c>
      <c r="Q671" s="301"/>
      <c r="R671" s="177"/>
      <c r="S671" s="403"/>
      <c r="T671" s="292" t="s">
        <v>743</v>
      </c>
      <c r="U671" s="292" t="s">
        <v>317</v>
      </c>
      <c r="AA671" s="28"/>
      <c r="AB671" s="28"/>
      <c r="AC671" s="536"/>
      <c r="AD671" s="536"/>
    </row>
    <row r="672" spans="6:30" ht="10.5" customHeight="1">
      <c r="F672" s="347"/>
      <c r="G672" s="324"/>
      <c r="H672" s="324"/>
      <c r="I672" s="324"/>
      <c r="J672" s="324"/>
      <c r="K672" s="324"/>
      <c r="L672" s="324"/>
      <c r="M672" s="324"/>
      <c r="N672" s="324"/>
      <c r="O672" s="324"/>
      <c r="P672" s="586" t="s">
        <v>2519</v>
      </c>
      <c r="Q672" s="301"/>
      <c r="R672" s="177"/>
      <c r="S672" s="403"/>
      <c r="T672" s="525" t="s">
        <v>1279</v>
      </c>
      <c r="U672" s="525" t="s">
        <v>677</v>
      </c>
      <c r="AA672" s="28"/>
      <c r="AB672" s="28"/>
      <c r="AC672" s="536"/>
      <c r="AD672" s="536"/>
    </row>
    <row r="673" spans="6:30" ht="10.5" customHeight="1">
      <c r="F673" s="347"/>
      <c r="G673" s="324"/>
      <c r="H673" s="324"/>
      <c r="I673" s="324"/>
      <c r="J673" s="324"/>
      <c r="K673" s="324"/>
      <c r="L673" s="324"/>
      <c r="M673" s="324"/>
      <c r="N673" s="324"/>
      <c r="O673" s="324"/>
      <c r="P673" s="586" t="s">
        <v>2520</v>
      </c>
      <c r="Q673" s="301"/>
      <c r="R673" s="177"/>
      <c r="S673" s="403"/>
      <c r="T673" s="525" t="s">
        <v>1084</v>
      </c>
      <c r="U673" s="525" t="s">
        <v>160</v>
      </c>
      <c r="AA673" s="28"/>
      <c r="AB673" s="28"/>
      <c r="AC673" s="997"/>
      <c r="AD673" s="536"/>
    </row>
    <row r="674" spans="6:30" ht="10.5" customHeight="1">
      <c r="F674" s="347"/>
      <c r="G674" s="324"/>
      <c r="H674" s="324"/>
      <c r="I674" s="324"/>
      <c r="J674" s="324"/>
      <c r="K674" s="324"/>
      <c r="L674" s="324"/>
      <c r="M674" s="324"/>
      <c r="N674" s="324"/>
      <c r="O674" s="324"/>
      <c r="P674" s="586" t="s">
        <v>1916</v>
      </c>
      <c r="Q674" s="301"/>
      <c r="R674" s="177"/>
      <c r="S674" s="403"/>
      <c r="T674" s="525" t="s">
        <v>1899</v>
      </c>
      <c r="U674" s="525" t="s">
        <v>1115</v>
      </c>
      <c r="AA674" s="28"/>
      <c r="AB674" s="28"/>
      <c r="AC674" s="997"/>
      <c r="AD674" s="536"/>
    </row>
    <row r="675" spans="6:30" ht="10.5" customHeight="1">
      <c r="F675" s="347"/>
      <c r="G675" s="324"/>
      <c r="H675" s="324"/>
      <c r="I675" s="324"/>
      <c r="J675" s="324"/>
      <c r="K675" s="324"/>
      <c r="L675" s="324"/>
      <c r="M675" s="324"/>
      <c r="N675" s="324"/>
      <c r="O675" s="324"/>
      <c r="P675" s="586" t="s">
        <v>1917</v>
      </c>
      <c r="Q675" s="301"/>
      <c r="R675" s="177"/>
      <c r="S675" s="403"/>
      <c r="T675" s="525" t="s">
        <v>1901</v>
      </c>
      <c r="U675" s="525" t="s">
        <v>1467</v>
      </c>
      <c r="AA675" s="28"/>
      <c r="AB675" s="28"/>
      <c r="AC675" s="997"/>
      <c r="AD675" s="536"/>
    </row>
    <row r="676" spans="6:30" ht="10.5" customHeight="1">
      <c r="F676" s="347"/>
      <c r="G676" s="324"/>
      <c r="H676" s="324"/>
      <c r="I676" s="324"/>
      <c r="J676" s="324"/>
      <c r="K676" s="324"/>
      <c r="L676" s="324"/>
      <c r="M676" s="324"/>
      <c r="N676" s="324"/>
      <c r="O676" s="324"/>
      <c r="P676" s="586" t="s">
        <v>1919</v>
      </c>
      <c r="Q676" s="301"/>
      <c r="R676" s="177"/>
      <c r="S676" s="403"/>
      <c r="T676" s="525" t="s">
        <v>1903</v>
      </c>
      <c r="U676" s="525" t="s">
        <v>2502</v>
      </c>
      <c r="AA676" s="28"/>
      <c r="AB676" s="28"/>
      <c r="AC676" s="997"/>
      <c r="AD676" s="536"/>
    </row>
    <row r="677" spans="6:30" ht="10.5" customHeight="1">
      <c r="F677" s="347"/>
      <c r="G677" s="324"/>
      <c r="H677" s="324"/>
      <c r="I677" s="324"/>
      <c r="J677" s="324"/>
      <c r="K677" s="324"/>
      <c r="L677" s="324"/>
      <c r="M677" s="324"/>
      <c r="N677" s="324"/>
      <c r="O677" s="324"/>
      <c r="P677" s="586" t="s">
        <v>649</v>
      </c>
      <c r="Q677" s="301"/>
      <c r="R677" s="177"/>
      <c r="S677" s="403"/>
      <c r="T677" s="525" t="s">
        <v>1905</v>
      </c>
      <c r="U677" s="525" t="s">
        <v>122</v>
      </c>
      <c r="AA677" s="28"/>
      <c r="AB677" s="28"/>
      <c r="AC677" s="997"/>
      <c r="AD677" s="536"/>
    </row>
    <row r="678" spans="6:30" ht="10.5" customHeight="1">
      <c r="F678" s="347"/>
      <c r="G678" s="324"/>
      <c r="H678" s="324"/>
      <c r="I678" s="324"/>
      <c r="J678" s="324"/>
      <c r="K678" s="324"/>
      <c r="L678" s="324"/>
      <c r="M678" s="324"/>
      <c r="N678" s="324"/>
      <c r="O678" s="324"/>
      <c r="P678" s="586" t="s">
        <v>651</v>
      </c>
      <c r="Q678" s="301"/>
      <c r="R678" s="177"/>
      <c r="S678" s="403"/>
      <c r="T678" s="525" t="s">
        <v>507</v>
      </c>
      <c r="U678" s="525" t="s">
        <v>2024</v>
      </c>
      <c r="AA678" s="28"/>
      <c r="AB678" s="28"/>
      <c r="AC678" s="997"/>
      <c r="AD678" s="536"/>
    </row>
    <row r="679" spans="6:30" ht="10.5" customHeight="1">
      <c r="F679" s="347"/>
      <c r="G679" s="324"/>
      <c r="H679" s="324"/>
      <c r="I679" s="324"/>
      <c r="J679" s="324"/>
      <c r="K679" s="324"/>
      <c r="L679" s="324"/>
      <c r="M679" s="324"/>
      <c r="N679" s="324"/>
      <c r="O679" s="324"/>
      <c r="P679" s="586" t="s">
        <v>652</v>
      </c>
      <c r="Q679" s="301"/>
      <c r="R679" s="177"/>
      <c r="S679" s="403"/>
      <c r="T679" s="525" t="s">
        <v>2553</v>
      </c>
      <c r="U679" s="525" t="s">
        <v>1928</v>
      </c>
      <c r="AA679" s="28"/>
      <c r="AB679" s="28"/>
      <c r="AC679" s="997"/>
      <c r="AD679" s="536"/>
    </row>
    <row r="680" spans="6:30" ht="10.5" customHeight="1">
      <c r="F680" s="347"/>
      <c r="G680" s="324"/>
      <c r="H680" s="324"/>
      <c r="I680" s="324"/>
      <c r="J680" s="324"/>
      <c r="K680" s="324"/>
      <c r="L680" s="324"/>
      <c r="M680" s="324"/>
      <c r="N680" s="324"/>
      <c r="O680" s="324"/>
      <c r="P680" s="586" t="s">
        <v>2324</v>
      </c>
      <c r="Q680" s="301"/>
      <c r="R680" s="177"/>
      <c r="S680" s="403"/>
      <c r="T680" s="525" t="s">
        <v>2555</v>
      </c>
      <c r="U680" s="525" t="s">
        <v>2546</v>
      </c>
      <c r="AA680" s="28"/>
      <c r="AB680" s="28"/>
      <c r="AC680" s="997"/>
      <c r="AD680" s="536"/>
    </row>
    <row r="681" spans="6:30" ht="10.5" customHeight="1">
      <c r="F681" s="347"/>
      <c r="G681" s="324"/>
      <c r="H681" s="324"/>
      <c r="I681" s="324"/>
      <c r="J681" s="324"/>
      <c r="K681" s="324"/>
      <c r="L681" s="324"/>
      <c r="M681" s="324"/>
      <c r="N681" s="324"/>
      <c r="O681" s="324"/>
      <c r="P681" s="586" t="s">
        <v>72</v>
      </c>
      <c r="Q681" s="301"/>
      <c r="R681" s="177"/>
      <c r="S681" s="403"/>
      <c r="T681" s="525" t="s">
        <v>1165</v>
      </c>
      <c r="U681" s="525" t="s">
        <v>314</v>
      </c>
      <c r="AA681" s="28"/>
      <c r="AB681" s="28"/>
      <c r="AC681" s="997"/>
      <c r="AD681" s="536"/>
    </row>
    <row r="682" spans="6:30" ht="10.5" customHeight="1">
      <c r="F682" s="347"/>
      <c r="G682" s="324"/>
      <c r="H682" s="324"/>
      <c r="I682" s="324"/>
      <c r="J682" s="324"/>
      <c r="K682" s="324"/>
      <c r="L682" s="324"/>
      <c r="M682" s="324"/>
      <c r="N682" s="324"/>
      <c r="O682" s="324"/>
      <c r="P682" s="586" t="s">
        <v>1426</v>
      </c>
      <c r="Q682" s="301"/>
      <c r="R682" s="177"/>
      <c r="S682" s="403"/>
      <c r="T682" s="525" t="s">
        <v>2534</v>
      </c>
      <c r="U682" s="525" t="s">
        <v>886</v>
      </c>
      <c r="AA682" s="28"/>
      <c r="AB682" s="28"/>
      <c r="AC682" s="997"/>
      <c r="AD682" s="536"/>
    </row>
    <row r="683" spans="6:30" ht="10.5" customHeight="1">
      <c r="F683" s="347"/>
      <c r="G683" s="324"/>
      <c r="H683" s="324"/>
      <c r="I683" s="324"/>
      <c r="J683" s="324"/>
      <c r="K683" s="324"/>
      <c r="L683" s="324"/>
      <c r="M683" s="324"/>
      <c r="N683" s="324"/>
      <c r="O683" s="324"/>
      <c r="P683" s="586" t="s">
        <v>2273</v>
      </c>
      <c r="Q683" s="301"/>
      <c r="R683" s="177"/>
      <c r="S683" s="403"/>
      <c r="T683" s="525" t="s">
        <v>824</v>
      </c>
      <c r="U683" s="525" t="s">
        <v>1346</v>
      </c>
      <c r="AA683" s="28"/>
      <c r="AB683" s="28"/>
      <c r="AC683" s="997"/>
      <c r="AD683" s="536"/>
    </row>
    <row r="684" spans="6:30" ht="10.5" customHeight="1">
      <c r="F684" s="347"/>
      <c r="G684" s="324"/>
      <c r="H684" s="324"/>
      <c r="I684" s="324"/>
      <c r="J684" s="324"/>
      <c r="K684" s="324"/>
      <c r="L684" s="324"/>
      <c r="M684" s="324"/>
      <c r="N684" s="324"/>
      <c r="O684" s="324"/>
      <c r="P684" s="586" t="s">
        <v>2275</v>
      </c>
      <c r="Q684" s="301"/>
      <c r="R684" s="177"/>
      <c r="S684" s="403"/>
      <c r="T684" s="525" t="s">
        <v>1080</v>
      </c>
      <c r="U684" s="525" t="s">
        <v>672</v>
      </c>
      <c r="AA684" s="28"/>
      <c r="AB684" s="28"/>
      <c r="AC684" s="997"/>
      <c r="AD684" s="536"/>
    </row>
    <row r="685" spans="6:30" ht="10.5" customHeight="1">
      <c r="F685" s="347"/>
      <c r="G685" s="324"/>
      <c r="H685" s="324"/>
      <c r="I685" s="324"/>
      <c r="J685" s="324"/>
      <c r="K685" s="324"/>
      <c r="L685" s="324"/>
      <c r="M685" s="324"/>
      <c r="N685" s="324"/>
      <c r="O685" s="324"/>
      <c r="P685" s="586" t="s">
        <v>1817</v>
      </c>
      <c r="Q685" s="301"/>
      <c r="R685" s="177"/>
      <c r="S685" s="403"/>
      <c r="T685" s="525" t="s">
        <v>1545</v>
      </c>
      <c r="U685" s="525" t="s">
        <v>330</v>
      </c>
      <c r="AA685" s="28"/>
      <c r="AB685" s="28"/>
      <c r="AC685" s="997"/>
      <c r="AD685" s="536"/>
    </row>
    <row r="686" spans="6:30" ht="10.5" customHeight="1">
      <c r="F686" s="347"/>
      <c r="G686" s="324"/>
      <c r="H686" s="324"/>
      <c r="I686" s="324"/>
      <c r="J686" s="324"/>
      <c r="K686" s="324"/>
      <c r="L686" s="324"/>
      <c r="M686" s="324"/>
      <c r="N686" s="324"/>
      <c r="O686" s="324"/>
      <c r="P686" s="586" t="s">
        <v>1127</v>
      </c>
      <c r="Q686" s="301"/>
      <c r="R686" s="177"/>
      <c r="S686" s="403"/>
      <c r="T686" s="525" t="s">
        <v>2892</v>
      </c>
      <c r="U686" s="525" t="s">
        <v>885</v>
      </c>
      <c r="AA686" s="28"/>
      <c r="AB686" s="28"/>
      <c r="AC686" s="997"/>
      <c r="AD686" s="536"/>
    </row>
    <row r="687" spans="6:30" ht="10.5" customHeight="1">
      <c r="F687" s="347"/>
      <c r="G687" s="324"/>
      <c r="H687" s="324"/>
      <c r="I687" s="324"/>
      <c r="J687" s="324"/>
      <c r="K687" s="324"/>
      <c r="L687" s="324"/>
      <c r="M687" s="324"/>
      <c r="N687" s="324"/>
      <c r="O687" s="324"/>
      <c r="P687" s="586" t="s">
        <v>2063</v>
      </c>
      <c r="Q687" s="301"/>
      <c r="R687" s="177"/>
      <c r="S687" s="403"/>
      <c r="T687" s="525" t="s">
        <v>2118</v>
      </c>
      <c r="U687" s="525" t="s">
        <v>1339</v>
      </c>
      <c r="AA687" s="28"/>
      <c r="AB687" s="28"/>
      <c r="AC687" s="997"/>
      <c r="AD687" s="536"/>
    </row>
    <row r="688" spans="6:30" ht="10.5" customHeight="1">
      <c r="F688" s="347"/>
      <c r="G688" s="324"/>
      <c r="H688" s="324"/>
      <c r="I688" s="324"/>
      <c r="J688" s="324"/>
      <c r="K688" s="324"/>
      <c r="L688" s="324"/>
      <c r="M688" s="324"/>
      <c r="N688" s="324"/>
      <c r="O688" s="324"/>
      <c r="P688" s="586" t="s">
        <v>1984</v>
      </c>
      <c r="Q688" s="301"/>
      <c r="R688" s="177"/>
      <c r="S688" s="403"/>
      <c r="T688" s="525" t="s">
        <v>1635</v>
      </c>
      <c r="U688" s="525" t="s">
        <v>1325</v>
      </c>
      <c r="AA688" s="28"/>
      <c r="AB688" s="28"/>
      <c r="AC688" s="997"/>
      <c r="AD688" s="536"/>
    </row>
    <row r="689" spans="6:30" ht="10.5" customHeight="1">
      <c r="F689" s="347"/>
      <c r="G689" s="324"/>
      <c r="H689" s="324"/>
      <c r="I689" s="324"/>
      <c r="J689" s="324"/>
      <c r="K689" s="324"/>
      <c r="L689" s="324"/>
      <c r="M689" s="324"/>
      <c r="N689" s="324"/>
      <c r="O689" s="324"/>
      <c r="P689" s="586" t="s">
        <v>1986</v>
      </c>
      <c r="Q689" s="301"/>
      <c r="R689" s="177"/>
      <c r="S689" s="403"/>
      <c r="T689" s="525" t="s">
        <v>946</v>
      </c>
      <c r="U689" s="525" t="s">
        <v>2258</v>
      </c>
      <c r="AA689" s="28"/>
      <c r="AB689" s="28"/>
      <c r="AC689" s="997"/>
      <c r="AD689" s="536"/>
    </row>
    <row r="690" spans="6:30" ht="10.5" customHeight="1">
      <c r="F690" s="347"/>
      <c r="G690" s="324"/>
      <c r="H690" s="324"/>
      <c r="I690" s="324"/>
      <c r="J690" s="324"/>
      <c r="K690" s="324"/>
      <c r="L690" s="324"/>
      <c r="M690" s="324"/>
      <c r="N690" s="324"/>
      <c r="O690" s="324"/>
      <c r="P690" s="586" t="s">
        <v>1988</v>
      </c>
      <c r="Q690" s="301"/>
      <c r="R690" s="177"/>
      <c r="S690" s="403"/>
      <c r="T690" s="525" t="s">
        <v>948</v>
      </c>
      <c r="U690" s="525" t="s">
        <v>321</v>
      </c>
      <c r="AA690" s="28"/>
      <c r="AB690" s="28"/>
      <c r="AC690" s="997"/>
      <c r="AD690" s="536"/>
    </row>
    <row r="691" spans="6:30" ht="10.5" customHeight="1">
      <c r="F691" s="347"/>
      <c r="G691" s="324"/>
      <c r="H691" s="324"/>
      <c r="I691" s="324"/>
      <c r="J691" s="324"/>
      <c r="K691" s="324"/>
      <c r="L691" s="324"/>
      <c r="M691" s="324"/>
      <c r="N691" s="324"/>
      <c r="O691" s="324"/>
      <c r="P691" s="586" t="s">
        <v>499</v>
      </c>
      <c r="Q691" s="301"/>
      <c r="R691" s="177"/>
      <c r="S691" s="403"/>
      <c r="T691" s="525" t="s">
        <v>2518</v>
      </c>
      <c r="U691" s="525" t="s">
        <v>634</v>
      </c>
      <c r="AA691" s="28"/>
      <c r="AB691" s="28"/>
      <c r="AC691" s="997"/>
      <c r="AD691" s="536"/>
    </row>
    <row r="692" spans="6:30" ht="10.5" customHeight="1">
      <c r="F692" s="347"/>
      <c r="G692" s="324"/>
      <c r="H692" s="324"/>
      <c r="I692" s="324"/>
      <c r="J692" s="324"/>
      <c r="K692" s="324"/>
      <c r="L692" s="324"/>
      <c r="M692" s="324"/>
      <c r="N692" s="324"/>
      <c r="O692" s="324"/>
      <c r="P692" s="586" t="s">
        <v>457</v>
      </c>
      <c r="Q692" s="301"/>
      <c r="R692" s="177"/>
      <c r="S692" s="403"/>
      <c r="T692" s="525" t="s">
        <v>1915</v>
      </c>
      <c r="U692" s="525" t="s">
        <v>122</v>
      </c>
      <c r="AA692" s="28"/>
      <c r="AB692" s="28"/>
      <c r="AC692" s="997"/>
      <c r="AD692" s="536"/>
    </row>
    <row r="693" spans="6:30" ht="10.5" customHeight="1">
      <c r="F693" s="347"/>
      <c r="G693" s="324"/>
      <c r="H693" s="324"/>
      <c r="I693" s="324"/>
      <c r="J693" s="324"/>
      <c r="K693" s="324"/>
      <c r="L693" s="324"/>
      <c r="M693" s="324"/>
      <c r="N693" s="324"/>
      <c r="O693" s="324"/>
      <c r="P693" s="586" t="s">
        <v>2113</v>
      </c>
      <c r="Q693" s="301"/>
      <c r="R693" s="177"/>
      <c r="S693" s="403"/>
      <c r="T693" s="525" t="s">
        <v>1918</v>
      </c>
      <c r="U693" s="525" t="s">
        <v>2258</v>
      </c>
      <c r="AA693" s="28"/>
      <c r="AB693" s="28"/>
      <c r="AC693" s="997"/>
      <c r="AD693" s="536"/>
    </row>
    <row r="694" spans="6:30" ht="10.5" customHeight="1">
      <c r="F694" s="347"/>
      <c r="G694" s="324"/>
      <c r="H694" s="324"/>
      <c r="I694" s="324"/>
      <c r="J694" s="324"/>
      <c r="K694" s="324"/>
      <c r="L694" s="324"/>
      <c r="M694" s="324"/>
      <c r="N694" s="324"/>
      <c r="O694" s="324"/>
      <c r="P694" s="586" t="s">
        <v>2140</v>
      </c>
      <c r="Q694" s="1037"/>
      <c r="R694" s="1037"/>
      <c r="S694" s="1038"/>
      <c r="T694" s="525" t="s">
        <v>1920</v>
      </c>
      <c r="U694" s="525" t="s">
        <v>163</v>
      </c>
      <c r="AA694" s="28"/>
      <c r="AB694" s="28"/>
      <c r="AC694" s="997"/>
      <c r="AD694" s="536"/>
    </row>
    <row r="695" spans="6:30" ht="10.5" customHeight="1">
      <c r="F695" s="347"/>
      <c r="G695" s="324"/>
      <c r="H695" s="324"/>
      <c r="I695" s="324"/>
      <c r="J695" s="324"/>
      <c r="K695" s="324"/>
      <c r="L695" s="324"/>
      <c r="M695" s="324"/>
      <c r="N695" s="324"/>
      <c r="O695" s="324"/>
      <c r="P695" s="1036"/>
      <c r="Q695" s="590"/>
      <c r="R695" s="175"/>
      <c r="S695" s="324"/>
      <c r="T695" s="525" t="s">
        <v>650</v>
      </c>
      <c r="U695" s="525" t="s">
        <v>2417</v>
      </c>
      <c r="AA695" s="28"/>
      <c r="AB695" s="28"/>
      <c r="AC695" s="997"/>
      <c r="AD695" s="536"/>
    </row>
    <row r="696" spans="6:30" ht="10.5" customHeight="1">
      <c r="F696" s="347"/>
      <c r="G696" s="324"/>
      <c r="H696" s="324"/>
      <c r="I696" s="324"/>
      <c r="J696" s="324"/>
      <c r="K696" s="324"/>
      <c r="L696" s="324"/>
      <c r="M696" s="324"/>
      <c r="N696" s="324"/>
      <c r="O696" s="324"/>
      <c r="P696" s="589"/>
      <c r="Q696" s="324"/>
      <c r="R696" s="324"/>
      <c r="S696" s="324"/>
      <c r="T696" s="525" t="s">
        <v>825</v>
      </c>
      <c r="U696" s="525" t="s">
        <v>2188</v>
      </c>
      <c r="AA696" s="28"/>
      <c r="AB696" s="28"/>
      <c r="AC696" s="997"/>
      <c r="AD696" s="536"/>
    </row>
    <row r="697" spans="6:30" ht="10.5" customHeight="1">
      <c r="F697" s="347"/>
      <c r="G697" s="324"/>
      <c r="H697" s="324"/>
      <c r="I697" s="324"/>
      <c r="J697" s="324"/>
      <c r="K697" s="590"/>
      <c r="L697" s="175"/>
      <c r="M697" s="324"/>
      <c r="N697" s="324"/>
      <c r="O697" s="324"/>
      <c r="P697" s="324"/>
      <c r="Q697" s="324"/>
      <c r="R697" s="324"/>
      <c r="S697" s="324"/>
      <c r="T697" s="525" t="s">
        <v>1085</v>
      </c>
      <c r="U697" s="525" t="s">
        <v>1926</v>
      </c>
      <c r="AA697" s="28"/>
      <c r="AB697" s="28"/>
      <c r="AC697" s="997"/>
      <c r="AD697" s="536"/>
    </row>
    <row r="698" spans="6:30" ht="10.5" customHeight="1">
      <c r="F698" s="347"/>
      <c r="G698" s="324"/>
      <c r="H698" s="324"/>
      <c r="I698" s="324"/>
      <c r="J698" s="589"/>
      <c r="K698" s="590"/>
      <c r="L698" s="175"/>
      <c r="M698" s="324"/>
      <c r="N698" s="324"/>
      <c r="O698" s="324"/>
      <c r="P698" s="324"/>
      <c r="Q698" s="324"/>
      <c r="R698" s="324"/>
      <c r="S698" s="324"/>
      <c r="T698" s="525" t="s">
        <v>1086</v>
      </c>
      <c r="U698" s="525" t="s">
        <v>2021</v>
      </c>
      <c r="AA698" s="28"/>
      <c r="AB698" s="28"/>
      <c r="AC698" s="997"/>
      <c r="AD698" s="536"/>
    </row>
    <row r="699" spans="6:30" ht="10.5" customHeight="1">
      <c r="F699" s="347"/>
      <c r="G699" s="324"/>
      <c r="H699" s="324"/>
      <c r="I699" s="324"/>
      <c r="J699" s="589"/>
      <c r="K699" s="590"/>
      <c r="L699" s="175"/>
      <c r="M699" s="324"/>
      <c r="N699" s="324"/>
      <c r="O699" s="324"/>
      <c r="P699" s="324"/>
      <c r="Q699" s="324"/>
      <c r="R699" s="324"/>
      <c r="S699" s="324"/>
      <c r="T699" s="292" t="s">
        <v>1476</v>
      </c>
      <c r="U699" s="292" t="s">
        <v>1222</v>
      </c>
      <c r="AA699" s="28"/>
      <c r="AB699" s="28"/>
      <c r="AC699" s="997"/>
      <c r="AD699" s="536"/>
    </row>
    <row r="700" spans="6:30" ht="10.5" customHeight="1">
      <c r="F700" s="347"/>
      <c r="G700" s="324"/>
      <c r="H700" s="324"/>
      <c r="I700" s="324"/>
      <c r="J700" s="589"/>
      <c r="K700" s="590"/>
      <c r="L700" s="175"/>
      <c r="M700" s="324"/>
      <c r="N700" s="324"/>
      <c r="O700" s="324"/>
      <c r="P700" s="324"/>
      <c r="Q700" s="324"/>
      <c r="R700" s="324"/>
      <c r="S700" s="324"/>
      <c r="T700" s="525" t="s">
        <v>2325</v>
      </c>
      <c r="U700" s="525" t="s">
        <v>122</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1425</v>
      </c>
      <c r="U701" s="525" t="s">
        <v>2258</v>
      </c>
      <c r="AA701" s="28"/>
      <c r="AB701" s="28"/>
      <c r="AC701" s="997"/>
      <c r="AD701" s="536"/>
    </row>
    <row r="702" spans="6:30" ht="10.5" customHeight="1">
      <c r="F702" s="347"/>
      <c r="G702" s="324"/>
      <c r="H702" s="324"/>
      <c r="I702" s="324"/>
      <c r="J702" s="589"/>
      <c r="K702" s="590"/>
      <c r="L702" s="175"/>
      <c r="M702" s="324"/>
      <c r="N702" s="324"/>
      <c r="O702" s="324"/>
      <c r="P702" s="324"/>
      <c r="Q702" s="324"/>
      <c r="R702" s="324"/>
      <c r="S702" s="324"/>
      <c r="T702" s="525" t="s">
        <v>2272</v>
      </c>
      <c r="U702" s="525" t="s">
        <v>1932</v>
      </c>
      <c r="AA702" s="28"/>
      <c r="AB702" s="28"/>
      <c r="AC702" s="997"/>
      <c r="AD702" s="536"/>
    </row>
    <row r="703" spans="6:30" ht="10.5" customHeight="1">
      <c r="F703" s="347"/>
      <c r="G703" s="324"/>
      <c r="H703" s="324"/>
      <c r="I703" s="324"/>
      <c r="J703" s="589"/>
      <c r="K703" s="590"/>
      <c r="L703" s="175"/>
      <c r="M703" s="324"/>
      <c r="N703" s="324"/>
      <c r="O703" s="324"/>
      <c r="P703" s="324"/>
      <c r="Q703" s="324"/>
      <c r="R703" s="324"/>
      <c r="S703" s="324"/>
      <c r="T703" s="525" t="s">
        <v>2274</v>
      </c>
      <c r="U703" s="525" t="s">
        <v>2184</v>
      </c>
      <c r="AA703" s="28"/>
      <c r="AB703" s="28"/>
      <c r="AC703" s="997"/>
      <c r="AD703" s="536"/>
    </row>
    <row r="704" spans="6:30" ht="10.5" customHeight="1">
      <c r="F704" s="347"/>
      <c r="G704" s="324"/>
      <c r="H704" s="324"/>
      <c r="I704" s="324"/>
      <c r="J704" s="589"/>
      <c r="K704" s="590"/>
      <c r="L704" s="175"/>
      <c r="M704" s="324"/>
      <c r="N704" s="324"/>
      <c r="O704" s="324"/>
      <c r="P704" s="324"/>
      <c r="Q704" s="324"/>
      <c r="R704" s="324"/>
      <c r="S704" s="324"/>
      <c r="T704" s="525" t="s">
        <v>2276</v>
      </c>
      <c r="U704" s="525" t="s">
        <v>2417</v>
      </c>
      <c r="AA704" s="28"/>
      <c r="AB704" s="28"/>
      <c r="AC704" s="997"/>
      <c r="AD704" s="536"/>
    </row>
    <row r="705" spans="6:30" ht="10.5" customHeight="1">
      <c r="F705" s="347"/>
      <c r="G705" s="324"/>
      <c r="H705" s="324"/>
      <c r="I705" s="324"/>
      <c r="J705" s="589"/>
      <c r="K705" s="590"/>
      <c r="L705" s="175"/>
      <c r="M705" s="324"/>
      <c r="N705" s="324"/>
      <c r="O705" s="324"/>
      <c r="P705" s="324"/>
      <c r="Q705" s="324"/>
      <c r="R705" s="324"/>
      <c r="S705" s="324"/>
      <c r="T705" s="525" t="s">
        <v>2893</v>
      </c>
      <c r="U705" s="525" t="s">
        <v>160</v>
      </c>
      <c r="AA705" s="28"/>
      <c r="AB705" s="28"/>
      <c r="AC705" s="997"/>
      <c r="AD705" s="536"/>
    </row>
    <row r="706" spans="6:30" ht="10.5" customHeight="1">
      <c r="F706" s="347"/>
      <c r="G706" s="324"/>
      <c r="H706" s="324"/>
      <c r="I706" s="324"/>
      <c r="J706" s="589"/>
      <c r="K706" s="590"/>
      <c r="L706" s="175"/>
      <c r="M706" s="324"/>
      <c r="N706" s="324"/>
      <c r="O706" s="324"/>
      <c r="P706" s="324"/>
      <c r="Q706" s="324"/>
      <c r="R706" s="324"/>
      <c r="S706" s="324"/>
      <c r="T706" s="525" t="s">
        <v>1126</v>
      </c>
      <c r="U706" s="525" t="s">
        <v>2195</v>
      </c>
      <c r="AA706" s="28"/>
      <c r="AB706" s="28"/>
      <c r="AC706" s="997"/>
      <c r="AD706" s="536"/>
    </row>
    <row r="707" spans="6:30" ht="10.5" customHeight="1">
      <c r="F707" s="347"/>
      <c r="G707" s="324"/>
      <c r="H707" s="324"/>
      <c r="I707" s="324"/>
      <c r="J707" s="589"/>
      <c r="K707" s="590"/>
      <c r="L707" s="175"/>
      <c r="M707" s="324"/>
      <c r="N707" s="324"/>
      <c r="O707" s="324"/>
      <c r="P707" s="324"/>
      <c r="Q707" s="324"/>
      <c r="R707" s="324"/>
      <c r="S707" s="324"/>
      <c r="T707" s="525" t="s">
        <v>1128</v>
      </c>
      <c r="U707" s="525" t="s">
        <v>1103</v>
      </c>
      <c r="AA707" s="28"/>
      <c r="AB707" s="28"/>
      <c r="AC707" s="997"/>
      <c r="AD707" s="536"/>
    </row>
    <row r="708" spans="6:30" ht="10.5" customHeight="1">
      <c r="F708" s="347"/>
      <c r="G708" s="324"/>
      <c r="H708" s="324"/>
      <c r="I708" s="324"/>
      <c r="J708" s="589"/>
      <c r="K708" s="590"/>
      <c r="L708" s="175"/>
      <c r="M708" s="324"/>
      <c r="N708" s="324"/>
      <c r="O708" s="324"/>
      <c r="P708" s="324"/>
      <c r="Q708" s="324"/>
      <c r="R708" s="324"/>
      <c r="S708" s="324"/>
      <c r="T708" s="525" t="s">
        <v>2064</v>
      </c>
      <c r="U708" s="525" t="s">
        <v>316</v>
      </c>
      <c r="AA708" s="28"/>
      <c r="AB708" s="28"/>
      <c r="AC708" s="997"/>
      <c r="AD708" s="536"/>
    </row>
    <row r="709" spans="6:30" ht="10.5" customHeight="1">
      <c r="F709" s="347"/>
      <c r="G709" s="324"/>
      <c r="H709" s="324"/>
      <c r="I709" s="324"/>
      <c r="J709" s="589"/>
      <c r="K709" s="590"/>
      <c r="L709" s="175"/>
      <c r="M709" s="324"/>
      <c r="N709" s="324"/>
      <c r="O709" s="324"/>
      <c r="P709" s="324"/>
      <c r="Q709" s="324"/>
      <c r="R709" s="324"/>
      <c r="S709" s="324"/>
      <c r="T709" s="292" t="s">
        <v>1985</v>
      </c>
      <c r="U709" s="292" t="s">
        <v>123</v>
      </c>
      <c r="AA709" s="28"/>
      <c r="AB709" s="28"/>
      <c r="AC709" s="997"/>
      <c r="AD709" s="536"/>
    </row>
    <row r="710" spans="6:30" ht="10.5" customHeight="1">
      <c r="F710" s="347"/>
      <c r="G710" s="324"/>
      <c r="H710" s="324"/>
      <c r="I710" s="324"/>
      <c r="J710" s="589"/>
      <c r="K710" s="590"/>
      <c r="L710" s="175"/>
      <c r="M710" s="324"/>
      <c r="N710" s="324"/>
      <c r="O710" s="324"/>
      <c r="P710" s="324"/>
      <c r="Q710" s="324"/>
      <c r="R710" s="324"/>
      <c r="S710" s="324"/>
      <c r="T710" s="525" t="s">
        <v>1987</v>
      </c>
      <c r="U710" s="525" t="s">
        <v>325</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1989</v>
      </c>
      <c r="U711" s="525" t="s">
        <v>185</v>
      </c>
      <c r="AA711" s="28"/>
      <c r="AB711" s="28"/>
      <c r="AC711" s="997"/>
      <c r="AD711" s="536"/>
    </row>
    <row r="712" spans="6:30" ht="10.5" customHeight="1">
      <c r="F712" s="347"/>
      <c r="G712" s="324"/>
      <c r="H712" s="324"/>
      <c r="I712" s="324"/>
      <c r="J712" s="589"/>
      <c r="K712" s="590"/>
      <c r="L712" s="175"/>
      <c r="M712" s="324"/>
      <c r="N712" s="324"/>
      <c r="O712" s="324"/>
      <c r="P712" s="324"/>
      <c r="Q712" s="324"/>
      <c r="R712" s="324"/>
      <c r="S712" s="324"/>
      <c r="T712" s="525" t="s">
        <v>2894</v>
      </c>
      <c r="U712" s="525" t="s">
        <v>1926</v>
      </c>
      <c r="AA712" s="28"/>
      <c r="AB712" s="28"/>
      <c r="AC712" s="997"/>
      <c r="AD712" s="536"/>
    </row>
    <row r="713" spans="6:30" ht="10.5" customHeight="1">
      <c r="F713" s="347"/>
      <c r="G713" s="324"/>
      <c r="H713" s="324"/>
      <c r="I713" s="324"/>
      <c r="J713" s="589"/>
      <c r="K713" s="590"/>
      <c r="L713" s="175"/>
      <c r="M713" s="324"/>
      <c r="N713" s="324"/>
      <c r="O713" s="324"/>
      <c r="P713" s="324"/>
      <c r="Q713" s="324"/>
      <c r="R713" s="324"/>
      <c r="S713" s="324"/>
      <c r="T713" s="525" t="s">
        <v>458</v>
      </c>
      <c r="U713" s="525" t="s">
        <v>1326</v>
      </c>
      <c r="AA713" s="28"/>
      <c r="AB713" s="28"/>
      <c r="AC713" s="997"/>
      <c r="AD713" s="536"/>
    </row>
    <row r="714" spans="6:30" ht="10.5" customHeight="1">
      <c r="F714" s="347"/>
      <c r="G714" s="324"/>
      <c r="H714" s="324"/>
      <c r="I714" s="324"/>
      <c r="J714" s="589"/>
      <c r="K714" s="590"/>
      <c r="L714" s="175"/>
      <c r="M714" s="324"/>
      <c r="N714" s="324"/>
      <c r="O714" s="324"/>
      <c r="P714" s="324"/>
      <c r="Q714" s="324"/>
      <c r="R714" s="324"/>
      <c r="S714" s="324"/>
      <c r="T714" s="525" t="s">
        <v>2114</v>
      </c>
      <c r="U714" s="525" t="s">
        <v>741</v>
      </c>
      <c r="AA714" s="28"/>
      <c r="AB714" s="28"/>
      <c r="AC714" s="997"/>
      <c r="AD714" s="536"/>
    </row>
    <row r="715" spans="6:30" ht="10.5" customHeight="1">
      <c r="F715" s="347"/>
      <c r="G715" s="324"/>
      <c r="H715" s="324"/>
      <c r="I715" s="324"/>
      <c r="J715" s="589"/>
      <c r="K715" s="590"/>
      <c r="L715" s="175"/>
      <c r="M715" s="324"/>
      <c r="N715" s="324"/>
      <c r="O715" s="324"/>
      <c r="P715" s="324"/>
      <c r="Q715" s="324"/>
      <c r="R715" s="324"/>
      <c r="S715" s="324"/>
      <c r="T715" s="525" t="s">
        <v>2141</v>
      </c>
      <c r="U715" s="525" t="s">
        <v>107</v>
      </c>
      <c r="AA715" s="28"/>
      <c r="AB715" s="28"/>
      <c r="AC715" s="997"/>
      <c r="AD715" s="536"/>
    </row>
    <row r="716" spans="6:30" ht="10.5" customHeight="1">
      <c r="F716" s="347"/>
      <c r="G716" s="324"/>
      <c r="H716" s="324"/>
      <c r="I716" s="324"/>
      <c r="J716" s="589"/>
      <c r="K716" s="590"/>
      <c r="L716" s="175"/>
      <c r="M716" s="324"/>
      <c r="N716" s="324"/>
      <c r="O716" s="324"/>
      <c r="P716" s="324"/>
      <c r="Q716" s="324"/>
      <c r="R716" s="324"/>
      <c r="S716" s="324"/>
      <c r="T716" s="525" t="s">
        <v>841</v>
      </c>
      <c r="U716" s="525" t="s">
        <v>2021</v>
      </c>
      <c r="AA716" s="28"/>
      <c r="AB716" s="28"/>
      <c r="AC716" s="997"/>
      <c r="AD716" s="536"/>
    </row>
    <row r="717" spans="6:30" ht="10.5" customHeight="1">
      <c r="F717" s="347"/>
      <c r="G717" s="324"/>
      <c r="H717" s="324"/>
      <c r="I717" s="324"/>
      <c r="J717" s="589"/>
      <c r="K717" s="590"/>
      <c r="L717" s="175"/>
      <c r="M717" s="324"/>
      <c r="N717" s="324"/>
      <c r="O717" s="324"/>
      <c r="P717" s="324"/>
      <c r="Q717" s="324"/>
      <c r="R717" s="324"/>
      <c r="S717" s="324"/>
      <c r="T717" s="525" t="s">
        <v>2142</v>
      </c>
      <c r="U717" s="525" t="s">
        <v>2021</v>
      </c>
      <c r="AA717" s="28"/>
      <c r="AB717" s="28"/>
      <c r="AC717" s="997"/>
      <c r="AD717" s="536"/>
    </row>
    <row r="718" spans="6:30" ht="10.5" customHeight="1">
      <c r="F718" s="347"/>
      <c r="G718" s="324"/>
      <c r="H718" s="324"/>
      <c r="I718" s="324"/>
      <c r="J718" s="589"/>
      <c r="K718" s="590"/>
      <c r="L718" s="175"/>
      <c r="M718" s="324"/>
      <c r="N718" s="324"/>
      <c r="O718" s="324"/>
      <c r="P718" s="324"/>
      <c r="Q718" s="324"/>
      <c r="R718" s="324"/>
      <c r="S718" s="324"/>
      <c r="T718" s="292" t="s">
        <v>2143</v>
      </c>
      <c r="U718" s="292" t="s">
        <v>1679</v>
      </c>
      <c r="AA718" s="28"/>
      <c r="AB718" s="28"/>
      <c r="AC718" s="997"/>
      <c r="AD718" s="536"/>
    </row>
    <row r="719" spans="6:30" ht="10.5" customHeight="1">
      <c r="F719" s="347"/>
      <c r="G719" s="324"/>
      <c r="H719" s="324"/>
      <c r="I719" s="324"/>
      <c r="J719" s="589"/>
      <c r="K719" s="590"/>
      <c r="L719" s="175"/>
      <c r="M719" s="324"/>
      <c r="N719" s="324"/>
      <c r="O719" s="324"/>
      <c r="P719" s="324"/>
      <c r="Q719" s="324"/>
      <c r="R719" s="324"/>
      <c r="S719" s="324"/>
      <c r="T719" s="525" t="s">
        <v>2348</v>
      </c>
      <c r="U719" s="525" t="s">
        <v>1891</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2349</v>
      </c>
      <c r="U720" s="525" t="s">
        <v>160</v>
      </c>
      <c r="AA720" s="28"/>
      <c r="AB720" s="28"/>
      <c r="AC720" s="997"/>
      <c r="AD720" s="536"/>
    </row>
    <row r="721" spans="6:30" ht="10.5" customHeight="1">
      <c r="F721" s="347"/>
      <c r="G721" s="324"/>
      <c r="H721" s="324"/>
      <c r="I721" s="324"/>
      <c r="J721" s="589"/>
      <c r="K721" s="590"/>
      <c r="L721" s="175"/>
      <c r="M721" s="324"/>
      <c r="N721" s="324"/>
      <c r="O721" s="324"/>
      <c r="P721" s="324"/>
      <c r="Q721" s="324"/>
      <c r="R721" s="324"/>
      <c r="S721" s="324"/>
      <c r="T721" s="525" t="s">
        <v>2350</v>
      </c>
      <c r="U721" s="525" t="s">
        <v>1681</v>
      </c>
      <c r="AA721" s="28"/>
      <c r="AB721" s="28"/>
      <c r="AC721" s="997"/>
      <c r="AD721" s="536"/>
    </row>
    <row r="722" spans="6:30" ht="10.5" customHeight="1">
      <c r="F722" s="347"/>
      <c r="G722" s="324"/>
      <c r="H722" s="324"/>
      <c r="I722" s="324"/>
      <c r="J722" s="589"/>
      <c r="K722" s="590"/>
      <c r="L722" s="175"/>
      <c r="M722" s="324"/>
      <c r="N722" s="324"/>
      <c r="O722" s="324"/>
      <c r="P722" s="324"/>
      <c r="Q722" s="324"/>
      <c r="R722" s="324"/>
      <c r="S722" s="324"/>
      <c r="T722" s="525" t="s">
        <v>2351</v>
      </c>
      <c r="U722" s="525" t="s">
        <v>1115</v>
      </c>
      <c r="AA722" s="28"/>
      <c r="AB722" s="28"/>
      <c r="AC722" s="997"/>
      <c r="AD722" s="536"/>
    </row>
    <row r="723" spans="6:30" ht="10.5" customHeight="1">
      <c r="F723" s="347"/>
      <c r="G723" s="324"/>
      <c r="H723" s="324"/>
      <c r="I723" s="324"/>
      <c r="J723" s="589"/>
      <c r="K723" s="590"/>
      <c r="L723" s="175"/>
      <c r="M723" s="324"/>
      <c r="N723" s="324"/>
      <c r="O723" s="324"/>
      <c r="P723" s="324"/>
      <c r="Q723" s="324"/>
      <c r="R723" s="324"/>
      <c r="S723" s="324"/>
      <c r="T723" s="525" t="s">
        <v>2352</v>
      </c>
      <c r="U723" s="525" t="s">
        <v>2413</v>
      </c>
      <c r="AA723" s="28"/>
      <c r="AB723" s="28"/>
      <c r="AC723" s="997"/>
      <c r="AD723" s="536"/>
    </row>
    <row r="724" spans="6:30" ht="10.5" customHeight="1">
      <c r="F724" s="347"/>
      <c r="G724" s="324"/>
      <c r="H724" s="324"/>
      <c r="I724" s="324"/>
      <c r="J724" s="589"/>
      <c r="K724" s="590"/>
      <c r="L724" s="175"/>
      <c r="M724" s="324"/>
      <c r="N724" s="324"/>
      <c r="O724" s="324"/>
      <c r="P724" s="324"/>
      <c r="Q724" s="324"/>
      <c r="R724" s="324"/>
      <c r="S724" s="324"/>
      <c r="T724" s="525" t="s">
        <v>2277</v>
      </c>
      <c r="U724" s="525" t="s">
        <v>2189</v>
      </c>
      <c r="AA724" s="28"/>
      <c r="AB724" s="28"/>
      <c r="AC724" s="997"/>
      <c r="AD724" s="536"/>
    </row>
    <row r="725" spans="6:30" ht="10.5" customHeight="1">
      <c r="F725" s="347"/>
      <c r="G725" s="324"/>
      <c r="H725" s="324"/>
      <c r="I725" s="324"/>
      <c r="J725" s="589"/>
      <c r="K725" s="590"/>
      <c r="L725" s="175"/>
      <c r="M725" s="324"/>
      <c r="N725" s="324"/>
      <c r="O725" s="324"/>
      <c r="P725" s="324"/>
      <c r="Q725" s="324"/>
      <c r="R725" s="324"/>
      <c r="S725" s="324"/>
      <c r="T725" s="525" t="s">
        <v>1638</v>
      </c>
      <c r="U725" s="525" t="s">
        <v>2415</v>
      </c>
      <c r="AA725" s="28"/>
      <c r="AB725" s="28"/>
      <c r="AC725" s="997"/>
      <c r="AD725" s="536"/>
    </row>
    <row r="726" spans="6:30" ht="10.5" customHeight="1">
      <c r="F726" s="347"/>
      <c r="G726" s="324"/>
      <c r="H726" s="324"/>
      <c r="I726" s="324"/>
      <c r="J726" s="589"/>
      <c r="K726" s="590"/>
      <c r="L726" s="175"/>
      <c r="M726" s="324"/>
      <c r="N726" s="324"/>
      <c r="O726" s="324"/>
      <c r="P726" s="324"/>
      <c r="Q726" s="324"/>
      <c r="R726" s="324"/>
      <c r="S726" s="324"/>
      <c r="T726" s="525" t="s">
        <v>1639</v>
      </c>
      <c r="U726" s="525" t="s">
        <v>196</v>
      </c>
      <c r="AA726" s="28"/>
      <c r="AB726" s="28"/>
      <c r="AC726" s="997"/>
      <c r="AD726" s="536"/>
    </row>
    <row r="727" spans="6:30" ht="10.5" customHeight="1">
      <c r="F727" s="347"/>
      <c r="G727" s="324"/>
      <c r="H727" s="324"/>
      <c r="I727" s="324"/>
      <c r="J727" s="589"/>
      <c r="K727" s="590"/>
      <c r="L727" s="175"/>
      <c r="M727" s="324"/>
      <c r="N727" s="324"/>
      <c r="O727" s="324"/>
      <c r="P727" s="324"/>
      <c r="Q727" s="324"/>
      <c r="R727" s="324"/>
      <c r="S727" s="324"/>
      <c r="T727" s="525" t="s">
        <v>1699</v>
      </c>
      <c r="U727" s="525" t="s">
        <v>163</v>
      </c>
      <c r="AA727" s="28"/>
      <c r="AB727" s="28"/>
      <c r="AC727" s="997"/>
      <c r="AD727" s="536"/>
    </row>
    <row r="728" spans="6:30" ht="10.5" customHeight="1">
      <c r="F728" s="347"/>
      <c r="G728" s="324"/>
      <c r="H728" s="324"/>
      <c r="I728" s="324"/>
      <c r="J728" s="589"/>
      <c r="K728" s="590"/>
      <c r="L728" s="175"/>
      <c r="M728" s="324"/>
      <c r="N728" s="324"/>
      <c r="O728" s="324"/>
      <c r="P728" s="324"/>
      <c r="Q728" s="324"/>
      <c r="R728" s="324"/>
      <c r="S728" s="324"/>
      <c r="T728" s="525" t="s">
        <v>1087</v>
      </c>
      <c r="U728" s="525" t="s">
        <v>634</v>
      </c>
      <c r="AA728" s="28"/>
      <c r="AB728" s="28"/>
      <c r="AC728" s="997"/>
      <c r="AD728" s="536"/>
    </row>
    <row r="729" spans="6:30" ht="10.5" customHeight="1">
      <c r="F729" s="347"/>
      <c r="G729" s="324"/>
      <c r="H729" s="324"/>
      <c r="I729" s="324"/>
      <c r="J729" s="589"/>
      <c r="K729" s="590"/>
      <c r="L729" s="175"/>
      <c r="M729" s="324"/>
      <c r="N729" s="324"/>
      <c r="O729" s="324"/>
      <c r="P729" s="324"/>
      <c r="Q729" s="324"/>
      <c r="R729" s="324"/>
      <c r="S729" s="324"/>
      <c r="T729" s="525" t="s">
        <v>826</v>
      </c>
      <c r="U729" s="525" t="s">
        <v>1965</v>
      </c>
      <c r="AA729" s="28"/>
      <c r="AB729" s="28"/>
      <c r="AC729" s="997"/>
      <c r="AD729" s="536"/>
    </row>
    <row r="730" spans="6:30" ht="10.5" customHeight="1">
      <c r="F730" s="347"/>
      <c r="G730" s="324"/>
      <c r="H730" s="324"/>
      <c r="I730" s="324"/>
      <c r="J730" s="589"/>
      <c r="K730" s="590"/>
      <c r="L730" s="175"/>
      <c r="M730" s="324"/>
      <c r="N730" s="324"/>
      <c r="O730" s="324"/>
      <c r="P730" s="324"/>
      <c r="Q730" s="324"/>
      <c r="R730" s="324"/>
      <c r="S730" s="324"/>
      <c r="T730" s="525" t="s">
        <v>1700</v>
      </c>
      <c r="U730" s="525" t="s">
        <v>2548</v>
      </c>
      <c r="AA730" s="28"/>
      <c r="AB730" s="28"/>
      <c r="AC730" s="997"/>
      <c r="AD730" s="536"/>
    </row>
    <row r="731" spans="6:30" ht="10.5" customHeight="1">
      <c r="F731" s="347"/>
      <c r="G731" s="324"/>
      <c r="H731" s="324"/>
      <c r="I731" s="324"/>
      <c r="J731" s="589"/>
      <c r="K731" s="590"/>
      <c r="L731" s="175"/>
      <c r="M731" s="324"/>
      <c r="N731" s="324"/>
      <c r="O731" s="324"/>
      <c r="P731" s="324"/>
      <c r="Q731" s="324"/>
      <c r="R731" s="324"/>
      <c r="S731" s="324"/>
      <c r="T731" s="525" t="s">
        <v>1701</v>
      </c>
      <c r="U731" s="525" t="s">
        <v>2258</v>
      </c>
      <c r="AA731" s="28"/>
      <c r="AB731" s="28"/>
      <c r="AC731" s="997"/>
      <c r="AD731" s="536"/>
    </row>
    <row r="732" spans="6:30" ht="10.5" customHeight="1">
      <c r="F732" s="347"/>
      <c r="G732" s="324"/>
      <c r="H732" s="324"/>
      <c r="I732" s="324"/>
      <c r="J732" s="589"/>
      <c r="K732" s="590"/>
      <c r="L732" s="175"/>
      <c r="M732" s="324"/>
      <c r="N732" s="324"/>
      <c r="O732" s="324"/>
      <c r="P732" s="324"/>
      <c r="Q732" s="324"/>
      <c r="R732" s="324"/>
      <c r="S732" s="324"/>
      <c r="T732" s="525" t="s">
        <v>1702</v>
      </c>
      <c r="U732" s="525" t="s">
        <v>1681</v>
      </c>
      <c r="AA732" s="28"/>
      <c r="AB732" s="28"/>
      <c r="AC732" s="997"/>
      <c r="AD732" s="536"/>
    </row>
    <row r="733" spans="6:30" ht="10.5" customHeight="1">
      <c r="F733" s="347"/>
      <c r="G733" s="324"/>
      <c r="H733" s="324"/>
      <c r="I733" s="324"/>
      <c r="J733" s="589"/>
      <c r="K733" s="590"/>
      <c r="L733" s="175"/>
      <c r="M733" s="324"/>
      <c r="N733" s="324"/>
      <c r="O733" s="324"/>
      <c r="P733" s="324"/>
      <c r="Q733" s="324"/>
      <c r="R733" s="324"/>
      <c r="S733" s="324"/>
      <c r="T733" s="525" t="s">
        <v>1703</v>
      </c>
      <c r="U733" s="525" t="s">
        <v>160</v>
      </c>
      <c r="AA733" s="28"/>
      <c r="AB733" s="28"/>
      <c r="AC733" s="997"/>
      <c r="AD733" s="536"/>
    </row>
    <row r="734" spans="6:30" ht="10.5" customHeight="1">
      <c r="F734" s="347"/>
      <c r="G734" s="324"/>
      <c r="H734" s="324"/>
      <c r="I734" s="324"/>
      <c r="J734" s="589"/>
      <c r="K734" s="590"/>
      <c r="L734" s="175"/>
      <c r="M734" s="324"/>
      <c r="N734" s="324"/>
      <c r="O734" s="324"/>
      <c r="P734" s="324"/>
      <c r="Q734" s="324"/>
      <c r="R734" s="324"/>
      <c r="S734" s="324"/>
      <c r="T734" s="525" t="s">
        <v>1704</v>
      </c>
      <c r="U734" s="525" t="s">
        <v>663</v>
      </c>
      <c r="AA734" s="28"/>
      <c r="AB734" s="28"/>
      <c r="AC734" s="997"/>
      <c r="AD734" s="536"/>
    </row>
    <row r="735" spans="6:30" ht="10.5" customHeight="1">
      <c r="F735" s="347"/>
      <c r="G735" s="324"/>
      <c r="H735" s="324"/>
      <c r="I735" s="324"/>
      <c r="J735" s="589"/>
      <c r="K735" s="590"/>
      <c r="L735" s="175"/>
      <c r="M735" s="324"/>
      <c r="N735" s="324"/>
      <c r="O735" s="324"/>
      <c r="P735" s="324"/>
      <c r="Q735" s="324"/>
      <c r="R735" s="324"/>
      <c r="S735" s="324"/>
      <c r="T735" s="525" t="s">
        <v>1705</v>
      </c>
      <c r="U735" s="525" t="s">
        <v>962</v>
      </c>
      <c r="AA735" s="28"/>
      <c r="AB735" s="28"/>
      <c r="AC735" s="997"/>
      <c r="AD735" s="536"/>
    </row>
    <row r="736" spans="6:30" ht="10.5" customHeight="1">
      <c r="F736" s="347"/>
      <c r="G736" s="324"/>
      <c r="H736" s="324"/>
      <c r="I736" s="324"/>
      <c r="J736" s="589"/>
      <c r="K736" s="590"/>
      <c r="L736" s="175"/>
      <c r="M736" s="324"/>
      <c r="N736" s="324"/>
      <c r="O736" s="324"/>
      <c r="P736" s="324"/>
      <c r="Q736" s="324"/>
      <c r="R736" s="324"/>
      <c r="S736" s="324"/>
      <c r="T736" s="525" t="s">
        <v>1706</v>
      </c>
      <c r="U736" s="525" t="s">
        <v>1218</v>
      </c>
      <c r="AA736" s="28"/>
      <c r="AB736" s="28"/>
      <c r="AC736" s="997"/>
      <c r="AD736" s="536"/>
    </row>
    <row r="737" spans="6:30" ht="10.5" customHeight="1">
      <c r="F737" s="347"/>
      <c r="G737" s="324"/>
      <c r="H737" s="324"/>
      <c r="I737" s="324"/>
      <c r="J737" s="589"/>
      <c r="K737" s="590"/>
      <c r="L737" s="175"/>
      <c r="M737" s="324"/>
      <c r="N737" s="324"/>
      <c r="O737" s="324"/>
      <c r="P737" s="324"/>
      <c r="Q737" s="324"/>
      <c r="R737" s="324"/>
      <c r="S737" s="324"/>
      <c r="T737" s="525" t="s">
        <v>1707</v>
      </c>
      <c r="U737" s="525" t="s">
        <v>677</v>
      </c>
      <c r="AA737" s="28"/>
      <c r="AB737" s="28"/>
      <c r="AC737" s="997"/>
      <c r="AD737" s="536"/>
    </row>
    <row r="738" spans="6:30" ht="10.5" customHeight="1">
      <c r="F738" s="347"/>
      <c r="G738" s="324"/>
      <c r="H738" s="324"/>
      <c r="I738" s="324"/>
      <c r="J738" s="589"/>
      <c r="K738" s="590"/>
      <c r="L738" s="175"/>
      <c r="M738" s="324"/>
      <c r="N738" s="324"/>
      <c r="O738" s="324"/>
      <c r="P738" s="324"/>
      <c r="Q738" s="324"/>
      <c r="R738" s="324"/>
      <c r="S738" s="324"/>
      <c r="T738" s="292" t="s">
        <v>1088</v>
      </c>
      <c r="U738" s="292" t="s">
        <v>1681</v>
      </c>
      <c r="AA738" s="28"/>
      <c r="AB738" s="28"/>
      <c r="AC738" s="997"/>
      <c r="AD738" s="536"/>
    </row>
    <row r="739" spans="6:30" ht="10.5" customHeight="1">
      <c r="F739" s="347"/>
      <c r="G739" s="324"/>
      <c r="H739" s="324"/>
      <c r="I739" s="324"/>
      <c r="J739" s="589"/>
      <c r="K739" s="590"/>
      <c r="L739" s="175"/>
      <c r="M739" s="324"/>
      <c r="N739" s="324"/>
      <c r="O739" s="324"/>
      <c r="P739" s="324"/>
      <c r="Q739" s="324"/>
      <c r="R739" s="324"/>
      <c r="S739" s="324"/>
      <c r="T739" s="525" t="s">
        <v>1708</v>
      </c>
      <c r="U739" s="525" t="s">
        <v>185</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1709</v>
      </c>
      <c r="U740" s="525" t="s">
        <v>176</v>
      </c>
      <c r="AA740" s="28"/>
      <c r="AB740" s="28"/>
      <c r="AC740" s="997"/>
      <c r="AD740" s="536"/>
    </row>
    <row r="741" spans="6:30" ht="10.5" customHeight="1">
      <c r="F741" s="347"/>
      <c r="G741" s="324"/>
      <c r="H741" s="324"/>
      <c r="I741" s="324"/>
      <c r="J741" s="589"/>
      <c r="K741" s="590"/>
      <c r="L741" s="175"/>
      <c r="M741" s="324"/>
      <c r="N741" s="324"/>
      <c r="O741" s="324"/>
      <c r="P741" s="324"/>
      <c r="Q741" s="324"/>
      <c r="R741" s="324"/>
      <c r="S741" s="324"/>
      <c r="T741" s="525" t="s">
        <v>1710</v>
      </c>
      <c r="U741" s="525" t="s">
        <v>1965</v>
      </c>
      <c r="AA741" s="28"/>
      <c r="AB741" s="28"/>
      <c r="AC741" s="997"/>
      <c r="AD741" s="536"/>
    </row>
    <row r="742" spans="6:30" ht="10.5" customHeight="1">
      <c r="F742" s="347"/>
      <c r="G742" s="324"/>
      <c r="H742" s="324"/>
      <c r="I742" s="324"/>
      <c r="J742" s="589"/>
      <c r="K742" s="590"/>
      <c r="L742" s="175"/>
      <c r="M742" s="324"/>
      <c r="N742" s="324"/>
      <c r="O742" s="324"/>
      <c r="P742" s="324"/>
      <c r="Q742" s="324"/>
      <c r="R742" s="324"/>
      <c r="S742" s="324"/>
      <c r="T742" s="292" t="s">
        <v>1711</v>
      </c>
      <c r="U742" s="292" t="s">
        <v>160</v>
      </c>
      <c r="AA742" s="28"/>
      <c r="AB742" s="28"/>
      <c r="AC742" s="997"/>
      <c r="AD742" s="536"/>
    </row>
    <row r="743" spans="6:30" ht="10.5" customHeight="1">
      <c r="F743" s="347"/>
      <c r="G743" s="324"/>
      <c r="H743" s="324"/>
      <c r="I743" s="324"/>
      <c r="J743" s="589"/>
      <c r="K743" s="590"/>
      <c r="L743" s="175"/>
      <c r="M743" s="324"/>
      <c r="N743" s="324"/>
      <c r="O743" s="324"/>
      <c r="P743" s="324"/>
      <c r="Q743" s="324"/>
      <c r="R743" s="324"/>
      <c r="S743" s="324"/>
      <c r="T743" s="525" t="s">
        <v>1712</v>
      </c>
      <c r="U743" s="525" t="s">
        <v>1924</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1713</v>
      </c>
      <c r="U744" s="525" t="s">
        <v>1341</v>
      </c>
      <c r="AA744" s="28"/>
      <c r="AB744" s="28"/>
      <c r="AC744" s="997"/>
      <c r="AD744" s="536"/>
    </row>
    <row r="745" spans="6:30" ht="10.5" customHeight="1">
      <c r="F745" s="347"/>
      <c r="G745" s="324"/>
      <c r="H745" s="324"/>
      <c r="I745" s="324"/>
      <c r="J745" s="589"/>
      <c r="K745" s="590"/>
      <c r="L745" s="175"/>
      <c r="M745" s="324"/>
      <c r="N745" s="324"/>
      <c r="O745" s="324"/>
      <c r="P745" s="324"/>
      <c r="Q745" s="324"/>
      <c r="R745" s="324"/>
      <c r="S745" s="324"/>
      <c r="T745" s="525" t="s">
        <v>1714</v>
      </c>
      <c r="U745" s="525" t="s">
        <v>962</v>
      </c>
      <c r="AA745" s="28"/>
      <c r="AB745" s="28"/>
      <c r="AC745" s="997"/>
      <c r="AD745" s="536"/>
    </row>
    <row r="746" spans="6:30" ht="10.5" customHeight="1">
      <c r="F746" s="347"/>
      <c r="G746" s="324"/>
      <c r="H746" s="324"/>
      <c r="I746" s="324"/>
      <c r="J746" s="589"/>
      <c r="K746" s="590"/>
      <c r="L746" s="175"/>
      <c r="M746" s="324"/>
      <c r="N746" s="324"/>
      <c r="O746" s="324"/>
      <c r="P746" s="324"/>
      <c r="Q746" s="324"/>
      <c r="R746" s="324"/>
      <c r="S746" s="324"/>
      <c r="T746" s="525" t="s">
        <v>1715</v>
      </c>
      <c r="U746" s="525" t="s">
        <v>741</v>
      </c>
      <c r="AA746" s="28"/>
      <c r="AB746" s="28"/>
      <c r="AC746" s="997"/>
      <c r="AD746" s="536"/>
    </row>
    <row r="747" spans="6:30" ht="10.5" customHeight="1">
      <c r="F747" s="347"/>
      <c r="G747" s="324"/>
      <c r="H747" s="324"/>
      <c r="I747" s="324"/>
      <c r="J747" s="589"/>
      <c r="K747" s="590"/>
      <c r="L747" s="175"/>
      <c r="M747" s="324"/>
      <c r="N747" s="324"/>
      <c r="O747" s="324"/>
      <c r="P747" s="324"/>
      <c r="Q747" s="324"/>
      <c r="R747" s="324"/>
      <c r="S747" s="324"/>
      <c r="T747" s="525" t="s">
        <v>1089</v>
      </c>
      <c r="U747" s="525" t="s">
        <v>2502</v>
      </c>
      <c r="AA747" s="28"/>
      <c r="AB747" s="28"/>
      <c r="AC747" s="997"/>
      <c r="AD747" s="536"/>
    </row>
    <row r="748" spans="6:30" ht="10.5" customHeight="1">
      <c r="F748" s="347"/>
      <c r="G748" s="324"/>
      <c r="H748" s="324"/>
      <c r="I748" s="324"/>
      <c r="J748" s="589"/>
      <c r="K748" s="590"/>
      <c r="L748" s="175"/>
      <c r="M748" s="324"/>
      <c r="N748" s="324"/>
      <c r="O748" s="324"/>
      <c r="P748" s="324"/>
      <c r="Q748" s="324"/>
      <c r="R748" s="324"/>
      <c r="S748" s="324"/>
      <c r="T748" s="525" t="s">
        <v>1716</v>
      </c>
      <c r="U748" s="525" t="s">
        <v>316</v>
      </c>
      <c r="AA748" s="28"/>
      <c r="AB748" s="28"/>
      <c r="AC748" s="997"/>
      <c r="AD748" s="536"/>
    </row>
    <row r="749" spans="6:30" ht="10.5" customHeight="1">
      <c r="F749" s="347"/>
      <c r="G749" s="324"/>
      <c r="H749" s="324"/>
      <c r="I749" s="324"/>
      <c r="J749" s="589"/>
      <c r="K749" s="590"/>
      <c r="L749" s="175"/>
      <c r="M749" s="324"/>
      <c r="N749" s="324"/>
      <c r="O749" s="324"/>
      <c r="P749" s="324"/>
      <c r="Q749" s="324"/>
      <c r="R749" s="324"/>
      <c r="S749" s="324"/>
      <c r="T749" s="525" t="s">
        <v>1717</v>
      </c>
      <c r="U749" s="525" t="s">
        <v>330</v>
      </c>
      <c r="AA749" s="28"/>
      <c r="AB749" s="28"/>
      <c r="AC749" s="997"/>
      <c r="AD749" s="536"/>
    </row>
    <row r="750" spans="6:30" ht="10.5" customHeight="1">
      <c r="F750" s="347"/>
      <c r="G750" s="324"/>
      <c r="H750" s="324"/>
      <c r="I750" s="324"/>
      <c r="J750" s="589"/>
      <c r="K750" s="590"/>
      <c r="L750" s="175"/>
      <c r="M750" s="324"/>
      <c r="N750" s="324"/>
      <c r="O750" s="324"/>
      <c r="P750" s="324"/>
      <c r="Q750" s="324"/>
      <c r="R750" s="324"/>
      <c r="S750" s="324"/>
      <c r="T750" s="525" t="s">
        <v>1718</v>
      </c>
      <c r="U750" s="525" t="s">
        <v>165</v>
      </c>
      <c r="AA750" s="28"/>
      <c r="AB750" s="28"/>
      <c r="AC750" s="997"/>
      <c r="AD750" s="536"/>
    </row>
    <row r="751" spans="6:30" ht="10.5" customHeight="1">
      <c r="F751" s="347"/>
      <c r="G751" s="324"/>
      <c r="H751" s="324"/>
      <c r="I751" s="324"/>
      <c r="J751" s="589"/>
      <c r="K751" s="590"/>
      <c r="L751" s="175"/>
      <c r="M751" s="324"/>
      <c r="N751" s="324"/>
      <c r="O751" s="324"/>
      <c r="P751" s="324"/>
      <c r="Q751" s="324"/>
      <c r="R751" s="324"/>
      <c r="S751" s="324"/>
      <c r="T751" s="525" t="s">
        <v>1719</v>
      </c>
      <c r="U751" s="525" t="s">
        <v>2024</v>
      </c>
      <c r="AA751" s="28"/>
      <c r="AB751" s="28"/>
      <c r="AC751" s="997"/>
      <c r="AD751" s="536"/>
    </row>
    <row r="752" spans="6:30" ht="10.5" customHeight="1">
      <c r="F752" s="347"/>
      <c r="G752" s="324"/>
      <c r="H752" s="324"/>
      <c r="I752" s="324"/>
      <c r="J752" s="589"/>
      <c r="K752" s="590"/>
      <c r="L752" s="175"/>
      <c r="M752" s="324"/>
      <c r="N752" s="324"/>
      <c r="O752" s="324"/>
      <c r="P752" s="324"/>
      <c r="Q752" s="324"/>
      <c r="R752" s="324"/>
      <c r="S752" s="324"/>
      <c r="T752" s="525" t="s">
        <v>1720</v>
      </c>
      <c r="U752" s="525" t="s">
        <v>1468</v>
      </c>
      <c r="AA752" s="28"/>
      <c r="AB752" s="28"/>
      <c r="AC752" s="997"/>
      <c r="AD752" s="536"/>
    </row>
    <row r="753" spans="6:30" ht="10.5" customHeight="1">
      <c r="F753" s="347"/>
      <c r="G753" s="324"/>
      <c r="H753" s="324"/>
      <c r="I753" s="324"/>
      <c r="J753" s="589"/>
      <c r="K753" s="590"/>
      <c r="L753" s="175"/>
      <c r="M753" s="324"/>
      <c r="N753" s="324"/>
      <c r="O753" s="324"/>
      <c r="P753" s="324"/>
      <c r="Q753" s="324"/>
      <c r="R753" s="324"/>
      <c r="S753" s="324"/>
      <c r="T753" s="525" t="s">
        <v>1721</v>
      </c>
      <c r="U753" s="525" t="s">
        <v>1893</v>
      </c>
      <c r="AA753" s="28"/>
      <c r="AB753" s="28"/>
      <c r="AC753" s="997"/>
      <c r="AD753" s="536"/>
    </row>
    <row r="754" spans="6:30" ht="10.5" customHeight="1">
      <c r="F754" s="347"/>
      <c r="G754" s="324"/>
      <c r="H754" s="324"/>
      <c r="I754" s="324"/>
      <c r="J754" s="589"/>
      <c r="K754" s="590"/>
      <c r="L754" s="175"/>
      <c r="M754" s="324"/>
      <c r="N754" s="324"/>
      <c r="O754" s="324"/>
      <c r="P754" s="324"/>
      <c r="Q754" s="324"/>
      <c r="R754" s="324"/>
      <c r="S754" s="324"/>
      <c r="T754" s="525" t="s">
        <v>1722</v>
      </c>
      <c r="U754" s="525" t="s">
        <v>322</v>
      </c>
      <c r="AA754" s="28"/>
      <c r="AB754" s="28"/>
      <c r="AC754" s="997"/>
      <c r="AD754" s="536"/>
    </row>
    <row r="755" spans="6:30" ht="10.5" customHeight="1">
      <c r="F755" s="347"/>
      <c r="G755" s="324"/>
      <c r="H755" s="324"/>
      <c r="I755" s="324"/>
      <c r="J755" s="589"/>
      <c r="K755" s="590"/>
      <c r="L755" s="175"/>
      <c r="M755" s="324"/>
      <c r="N755" s="324"/>
      <c r="O755" s="324"/>
      <c r="P755" s="324"/>
      <c r="Q755" s="324"/>
      <c r="R755" s="324"/>
      <c r="S755" s="324"/>
      <c r="T755" s="525" t="s">
        <v>1723</v>
      </c>
      <c r="U755" s="525" t="s">
        <v>105</v>
      </c>
      <c r="AA755" s="28"/>
      <c r="AB755" s="28"/>
      <c r="AC755" s="997"/>
      <c r="AD755" s="536"/>
    </row>
    <row r="756" spans="6:30" ht="10.5" customHeight="1">
      <c r="F756" s="347"/>
      <c r="G756" s="324"/>
      <c r="H756" s="324"/>
      <c r="I756" s="324"/>
      <c r="J756" s="589"/>
      <c r="K756" s="590"/>
      <c r="L756" s="175"/>
      <c r="M756" s="324"/>
      <c r="N756" s="324"/>
      <c r="O756" s="324"/>
      <c r="P756" s="324"/>
      <c r="Q756" s="324"/>
      <c r="R756" s="324"/>
      <c r="S756" s="324"/>
      <c r="T756" s="403" t="s">
        <v>295</v>
      </c>
      <c r="U756" s="403" t="s">
        <v>2417</v>
      </c>
      <c r="AA756" s="28"/>
      <c r="AB756" s="28"/>
      <c r="AC756" s="997"/>
      <c r="AD756" s="536"/>
    </row>
    <row r="757" spans="6:30" ht="10.5" customHeight="1">
      <c r="F757" s="347"/>
      <c r="G757" s="324"/>
      <c r="H757" s="324"/>
      <c r="I757" s="324"/>
      <c r="J757" s="589"/>
      <c r="K757" s="590"/>
      <c r="L757" s="175"/>
      <c r="M757" s="324"/>
      <c r="N757" s="324"/>
      <c r="O757" s="324"/>
      <c r="P757" s="324"/>
      <c r="Q757" s="324"/>
      <c r="R757" s="324"/>
      <c r="S757" s="324"/>
      <c r="T757" s="525" t="s">
        <v>107</v>
      </c>
      <c r="U757" s="525" t="s">
        <v>2413</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296</v>
      </c>
      <c r="U758" s="403" t="s">
        <v>2607</v>
      </c>
      <c r="AA758" s="28"/>
      <c r="AB758" s="28"/>
      <c r="AC758" s="997"/>
      <c r="AD758" s="536"/>
    </row>
    <row r="759" spans="6:30" ht="13.5">
      <c r="F759" s="347"/>
      <c r="G759" s="324"/>
      <c r="H759" s="324"/>
      <c r="I759" s="324"/>
      <c r="J759" s="589"/>
      <c r="K759" s="590"/>
      <c r="L759" s="175"/>
      <c r="M759" s="324"/>
      <c r="N759" s="324"/>
      <c r="O759" s="324"/>
      <c r="P759" s="324"/>
      <c r="Q759" s="324"/>
      <c r="R759" s="324"/>
      <c r="S759" s="324"/>
      <c r="T759" s="403" t="s">
        <v>297</v>
      </c>
      <c r="U759" s="403" t="s">
        <v>317</v>
      </c>
      <c r="AA759" s="28"/>
      <c r="AB759" s="28"/>
      <c r="AC759" s="997"/>
      <c r="AD759" s="536"/>
    </row>
    <row r="760" spans="6:30" ht="13.5">
      <c r="F760" s="347"/>
      <c r="G760" s="324"/>
      <c r="H760" s="324"/>
      <c r="I760" s="324"/>
      <c r="J760" s="589"/>
      <c r="K760" s="590"/>
      <c r="L760" s="175"/>
      <c r="M760" s="324"/>
      <c r="N760" s="324"/>
      <c r="O760" s="324"/>
      <c r="P760" s="324"/>
      <c r="Q760" s="324"/>
      <c r="R760" s="324"/>
      <c r="S760" s="324"/>
      <c r="T760" s="403" t="s">
        <v>298</v>
      </c>
      <c r="U760" s="403" t="s">
        <v>2025</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299</v>
      </c>
      <c r="U761" s="403" t="s">
        <v>1341</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300</v>
      </c>
      <c r="U762" s="403" t="s">
        <v>1930</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302</v>
      </c>
      <c r="U764" s="403" t="s">
        <v>675</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115</v>
      </c>
      <c r="U765" s="403" t="s">
        <v>1326</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1551</v>
      </c>
      <c r="U766" s="403" t="s">
        <v>677</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1090</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1552</v>
      </c>
      <c r="U768" s="403" t="s">
        <v>741</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1553</v>
      </c>
      <c r="U769" s="403" t="s">
        <v>1790</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1554</v>
      </c>
      <c r="U770" s="403" t="s">
        <v>1106</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1091</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1555</v>
      </c>
      <c r="U772" s="403" t="s">
        <v>1325</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1556</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1557</v>
      </c>
      <c r="U774" s="403" t="s">
        <v>1346</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1558</v>
      </c>
      <c r="U775" s="403" t="s">
        <v>1893</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1559</v>
      </c>
      <c r="U776" s="403" t="s">
        <v>2195</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1560</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2397</v>
      </c>
      <c r="U778" s="403" t="s">
        <v>677</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2398</v>
      </c>
      <c r="U779" s="403" t="s">
        <v>663</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2399</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842</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843</v>
      </c>
      <c r="U782" s="403" t="s">
        <v>2021</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2895</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844</v>
      </c>
      <c r="U784" s="403" t="s">
        <v>1926</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845</v>
      </c>
      <c r="U785" s="403" t="s">
        <v>1106</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d03L8/uxDUg0g/dc81HtzJOkMzw9/P8OeRkfVDnbRXqD8hRcwTAeBUWAGDT/BFwZ0oXhkdHfLSkUyYftSKdbbw==" saltValue="mn6l/92tjxoQ3dnLlihgPQ==" spinCount="100000" sheet="1" objects="1" scenarios="1"/>
  <sortState ref="AA216:AB326">
    <sortCondition ref="AA216:AA326"/>
  </sortState>
  <mergeCells count="45">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topLeftCell="H1985" zoomScale="130" zoomScaleNormal="130" workbookViewId="0">
      <selection sqref="A1:XFD1048576"/>
    </sheetView>
  </sheetViews>
  <sheetFormatPr defaultColWidth="9.140625" defaultRowHeight="12.75"/>
  <cols>
    <col min="1" max="1" width="9.42578125" style="683" bestFit="1" customWidth="1"/>
    <col min="2" max="2" width="11.5703125" style="683" bestFit="1" customWidth="1"/>
    <col min="3" max="4" width="10.42578125" style="683" bestFit="1" customWidth="1"/>
    <col min="5" max="5" width="11.7109375" style="683" bestFit="1" customWidth="1"/>
    <col min="6" max="7" width="10.42578125" style="683" bestFit="1" customWidth="1"/>
    <col min="8" max="8" width="14.85546875" style="683" bestFit="1" customWidth="1"/>
    <col min="9" max="10" width="14.42578125" style="683" bestFit="1" customWidth="1"/>
    <col min="11" max="11" width="10.42578125" style="683" bestFit="1" customWidth="1"/>
    <col min="12" max="12" width="9.42578125" style="683" bestFit="1" customWidth="1"/>
    <col min="13" max="13" width="11.7109375" style="683" bestFit="1" customWidth="1"/>
    <col min="14" max="14" width="9.42578125" style="683" bestFit="1" customWidth="1"/>
    <col min="15" max="15" width="12.28515625" style="683" bestFit="1" customWidth="1"/>
    <col min="16" max="16" width="15.42578125" style="683" bestFit="1" customWidth="1"/>
    <col min="17" max="17" width="11.7109375" style="683" bestFit="1" customWidth="1"/>
    <col min="18" max="278" width="9.42578125" style="683" bestFit="1" customWidth="1"/>
    <col min="279" max="16384" width="9.140625" style="683"/>
  </cols>
  <sheetData>
    <row r="1" spans="1:16" ht="15.75">
      <c r="A1" s="1619" t="s">
        <v>988</v>
      </c>
    </row>
    <row r="2" spans="1:16" ht="16.5">
      <c r="A2" s="1620" t="str">
        <f>'Part I-Project Information'!F34</f>
        <v>Tindall Fields III</v>
      </c>
    </row>
    <row r="3" spans="1:16" ht="16.5">
      <c r="A3" s="1620" t="str">
        <f>CONCATENATE('Part I-Project Information'!F38,", ", 'Part I-Project Information'!J39," County")</f>
        <v>Macon, Bibb County</v>
      </c>
    </row>
    <row r="5" spans="1:16" ht="12.75" customHeight="1">
      <c r="A5" s="1621" t="str">
        <f>'Project Narrative'!$A$5</f>
        <v xml:space="preserve">1. Introduction
       This application to the Georgia Department of Community Affairs (DCA) is for an allocation of Low Income Housing Tax Credits for the development of Tindall Fields III.  The applicant is Tindall Partners IV, L.P.  The General Partner is Tindall IV GP, Inc. with In-Fill Housing II, Inc. (In-Fill) as its sole shareholder.  (In-Fill is a 501-c-4 nonprofit affiliate of the Macon Bibb Housing Authority [MHA]). Tindall Fields III will consist of 65 multifamily units, all of which will be affordable for low income families.
2. The Need to Redevelop the former Tindall Heights public housing development
       Tindall Heights was a 412-unit obsolete public housing development on 28 acres that had been the most troubled property in MHA’s inventory.  It historically took four offers to find one family on the centralized MHA waiting list to fill each unit.  MHA applied unsuccessfully three times for a HOPE VI grant to redevelop the project; each time it was disqualified on a technical reason, not because of need.  
       Finally, after these various “HOPE VI disappointments”, HUD approved MHA’s “Demo Dispo” application in September 2015.  In December 2015 HUD allocated 390 Tenant Protection Vouchers to facilitate MHA’s relocation of the Tindall Heights residents.  The great news for Tindall continued with DCA’s allocation of LIHTCs for Tindall Seniors Towers (DCA 15-037); DCA awarded a second allocation of LIHTCs in 2016 for Tindall Fields I (DCA 16-043).  In 2017 DCA awarded a third allocation of LIHTCs for Tindall Fields II (DCA 17-028).  This application for Tindall Fields III is the fourth and final affordable housing phase for the Tindall redevelopment. 
3. Prime Location
         Located in a highly visible area along Little Richard Penniman Blvd, Tindall Fields III will be within easy access to numerous area amenities. It is also adjacent to the recent multi-million investment by Mercer University and Sierra Development, where new restaurants, a new Marriott Hotel, loft housing and a pedestrian-connector bridge with the Mercer University campus have all been recently completed. Because of this established successful redevelopment, Mercer and Sierra have just started construction on yet another new student housing phase, which is immediately adjacent to the Tindall site. The combined total of Macon Bibb County SPLOST funds, TAD funds and Mercer University sponsored development exceeds $50 million; an incredible investment for Macon, Georgia standards. The Tindall Fields III site is also less than two miles from downtown Macon and is served by the Macon Transit Authority, with bus stops adjacent to the Tindall site.  More than two dozen amenities including retail shopping, a grocery store, health care, recreation, public safety, and other important institutions are within an easy walk and/or drive for the future residents.  The property is also part of the Macon-Bibb Urban Redevelopment Plan, an initiative now well underway that is strengthening the inner-city areas of Macon-Bibb County. 
4. Our Transforming News Continues
        MHA/In-Fill has always embraced the difficult challenge, and challenged by DCA in 2017 to transform a community, MHA/In-Fill took that to heart.  The result after five months of continuous work on the part of the Macon community was a DCA-approved Transformation Plan that is now addressing the tough issues as DCA requested.  Our Plan   goes beyond that to lay the foundation for even closer and stronger working relationships among our partners and local leaders.  DCA will note in this year’s application at Tab 33-05 that our new Community Quarterback Board has not just been selected but the initial meeting of this new Board has already been held.  As a reminder, the Plan includes a 2017 “Innovative Project Concept” led by Mercer University and the Bibb County Schools, a strong Healthy Housing Initiative, an exciting “Leader in Me” leadership skills program at Ingram Pye Elementary School, a renewed approach to public transportation improvements, a focused 2-1-1 resources program, various healthy lifestyle commitments from Navicent Health and so much more. 
       The DCA reviewers will find at Tab 33-04 that two new partners have been added this year.  First, the Community Foundation of Central Georgia, has pledged $50,000 in scholarships to the future residents of Tindall Fields III and the Defined Neighborhood. This is an incredibly significant new contribution that speaks volumes about the community’s belief that what is taking place at Tindall is exciting and worth supporting. Second, we have a new $5000 commitment from the Middle Georgia State University Foundation that will also be earmarked for college scholarships for those aspiring students from the Defined Neighborhood.  We’re thrilled to report these new commitments of $55,000. Furthermore, we believe that no other Plan in Georgia could have stronger political support than ours, thanks to the leadership of Mayor Robert Reichert and the Macon Bibb County Commission.
5.  Strength and Mission of the Development/Ownership Team 
       As noted above In-Fill will be the owner of the General Partner of the Partnership; In-Fill will also be the Developer.  In-Fill and its sister affiliates under the leadership of MHA CEO Mike Austin have been engaged in the development of affordable multifamily developments since 2001; since that time the various nonprofit entities under the MHA family of non-profits have developed more than 1400 affordable multifamily units that are either completed or in the development pipeline.    In-Fill is therefore requesting DCA’s consideration for the non-profit set-aside at Tab 21.  
      In addition, MHA is requesting DCA’s consideration as an “Exceptional PHA” at Tab 38.  There are of course numerous Georgia PHAs that are “exceptional” and DCA will not have an easy task in determining just one from the entire state. If we are fortunate enough to earn that distinction, it will not just be based on MHA’s twenty-year record of providing beautiful affordable housing but its equally impressive record of helping communities and families become the very best they can be, as well. 
6. Needs of the proposed tenant population 
      Tindall Fields III will likely house a diverse group of low income residents including those with special needs. We therefore have MOAs with the River Edge Behavioral Health Center (River Edge) and Disability Connections, the Independent Living Center for middle Georgia. With the MHA-owned and MHA-staffed Buck Melton Community Center less than ½ mile away, Tindall Fields families can take advantage of numerous services including Macon-Bibb Head Start, Boys and Girls Clubs of Central Georgia, continuing education classes from Central Georgia Technical College, Operation HOPE (financial literacy program), WIC program offices and other family-friendly activities designed to promote family self-sufficiency and upward mobility. 
       Other low income families who won’t require any special services still need affordable, accessible, and convenient housing with modern amenities. Tindall Fields III will address their needs as well. The affordable housing need is clearly documented by the 2018 Novogradac Market Study which concludes at Tab 5-01, Page 88 that “…there is strong demand for the subject…” and on Page 89 states that “We believe the Subject will be well received and recommend the development as proposed.” The overall capture rate indicated on Page 4 is only 1.7%--a capture rate so small that the reviewer might at first glance think it’s a typo. 
7. How the project will meet the needs of the tenant population
      In June 2015 MHA adopted “a landmark” Section 8 Admissions Preference unparalleled in its 75-year history.   This preference was specifically made pursuant to DCA guidelines for the Settlement Population and is found at Tab 41-02; MHA was one of the first Georgia PHAs to do so. With this historic policy revision MHA agreed to allocate an admissions preference for Georgia Settlement Population clientele equal to one of every two persons admitted to the Section 8 program.  
      MHA has also pledged Section 8 Project Based Vouchers (PBVs) for 25 of the 65 units at Tindall Fields III, the maximum number of units MHA is permitted to allocate under HUD’s new PBV regulations for non-elderly residents.  Please see Tabs 1-03-01, 26-01 and 41-01.  This PBV allocation will provide much-needed rental assistance for 38% of the families; MHA and In-Fill believe that many other Section 8 voucher holders will find Tindall Fields III a desirable place to live, given the myriad new employment opportunities now available nearby. The new commercial developments adjacent to Tindall offer numerous entry level employment opportunities for lower income families; all of these opportunities will be within easy walking distance of the site. 
8. Unique Features: Local support is strong
       For the long-term planning that led to the Tindall Heights redevelopment plan, MHA worked very closely with all local stakeholders, including the former Tindall residents, the surrounding community, local government, Mercer University, local agencies, and other institutions.  Work began over 14 years ago on this plan.  During this period, MHA/In-Fill held or participated in over 200 separate community outreach and/or planning meetings related to the redevelopment of Tindall Heights. 
9. The Scope of Work is extensive 
       Tindall Fields III is the fourth and final affordable housing phase for the redevelopment of Tindall Heights. The total development budget for all four housing phases is projected to be more than $45,000,000; this fourth phase, Tindall Fields III, will cost just over $13 million.  All improvements will be completed within the EarthCraft Multifamily certification program; the scope of work will also be in full compliance with DCA’s accessibility requirements, and the common area amenities will be appropriate for persons with disabilities.  
10. MHA has been fully committed to the redevelopment of Tindall Heights 
       Please see Tab 44, which documents the “green field” commitments that MHA has made for the relocation of the residents (now completed), and for all abatement and demolition of the existing Tindall buildings (also completed).  This commitment has cost MHA more than $2.4 million from its scarce, non-federal resources.  
11. MHA/In-Fill is grateful to DCA for this redevelopment opportunity.
       This development team, with extensive affordable housing ownership and development experience, and with supportive housing experience as core parts of its mission, is grateful for the opportunity to transform the former Tindall Heights public housing into new, quality affordable housing for future generations. Tindall Seniors Towers (DCA 15-037) is completed and leasing up quickly. Tindall Fields I (DCA 16-043) is popping up out of the ground. Tindall Fields II (DCA 17-028) will close this fall. 
        The development team has more than 18 years’ experience in DCA affordable housing programs. In addition to the developer’s experience, there is also the strong team of third-party professionals who are similarly experienced with DCA affordable housing programs.  This team includes Bob Brown (architect with BTBB); Geotechnical &amp; Environmental Consultants, Inc., (GEC); Nathan Mize; Zeffert &amp; Associates; Ed Foskey with The Synergy Group; Frank Gudger, CPA; Scott Spivey and George Greer with Spivey Pope Green and Greer, along with MHA as the management company.  These companies and individuals have extensive and successful experience with DCA programs, and this group of proven professionals is excited about the opportunity to complete the redevelopment of Tindall Heights with this fourth and final phase.
        We thank the DCA review teams for their time and consideration of our application. 
</v>
      </c>
    </row>
    <row r="6" spans="1:16">
      <c r="A6" s="1621"/>
    </row>
    <row r="7" spans="1:16">
      <c r="A7" s="1621"/>
    </row>
    <row r="8" spans="1:16">
      <c r="A8" s="1621"/>
    </row>
    <row r="9" spans="1:16">
      <c r="A9" s="1621"/>
    </row>
    <row r="10" spans="1:16">
      <c r="A10" s="1621"/>
    </row>
    <row r="11" spans="1:16">
      <c r="A11" s="1621"/>
    </row>
    <row r="12" spans="1:16">
      <c r="A12" s="1622" t="str">
        <f>CONCATENATE("PART ONE - PROJECT INFORMATION"," - ",$O$6," ",$F$34,", ",'Part I-Project Information'!F49,", ",'Part I-Project Information'!J50," County")</f>
        <v>PART ONE - PROJECT INFORMATION -  312012404, 312012033,  County</v>
      </c>
      <c r="B12" s="1622"/>
      <c r="C12" s="1622"/>
      <c r="D12" s="1622"/>
      <c r="E12" s="1622"/>
      <c r="F12" s="1622"/>
      <c r="G12" s="1622"/>
      <c r="H12" s="1622"/>
      <c r="I12" s="1622"/>
      <c r="J12" s="1622"/>
      <c r="K12" s="1622"/>
      <c r="L12" s="1622"/>
      <c r="M12" s="1622"/>
      <c r="N12" s="1622"/>
      <c r="O12" s="1622"/>
      <c r="P12" s="1622"/>
    </row>
    <row r="13" spans="1:16">
      <c r="A13" s="1623"/>
      <c r="B13" s="1623"/>
      <c r="C13" s="1623"/>
      <c r="D13" s="1623"/>
      <c r="E13" s="1623"/>
      <c r="F13" s="1623"/>
      <c r="G13" s="1623"/>
      <c r="H13" s="1623"/>
      <c r="I13" s="1623"/>
      <c r="J13" s="1623"/>
      <c r="K13" s="1623"/>
      <c r="L13" s="1623"/>
      <c r="M13" s="1623"/>
      <c r="N13" s="1623"/>
      <c r="O13" s="1623"/>
      <c r="P13" s="1623"/>
    </row>
    <row r="14" spans="1:16" ht="12.75" customHeight="1">
      <c r="A14" s="1624" t="s">
        <v>4518</v>
      </c>
      <c r="B14" s="1624"/>
      <c r="C14" s="1624"/>
      <c r="D14" s="1624"/>
      <c r="E14" s="1624"/>
      <c r="F14" s="1624"/>
      <c r="G14" s="1624"/>
      <c r="H14" s="1624"/>
      <c r="I14" s="1624"/>
      <c r="J14" s="1624"/>
      <c r="K14" s="1624"/>
      <c r="L14" s="1624"/>
      <c r="M14" s="1624"/>
      <c r="N14" s="1624"/>
      <c r="O14" s="1624"/>
      <c r="P14" s="1624"/>
    </row>
    <row r="15" spans="1:16">
      <c r="A15" s="1623"/>
      <c r="B15" s="1623"/>
      <c r="C15" s="1623"/>
      <c r="D15" s="1623"/>
      <c r="E15" s="1623"/>
      <c r="F15" s="1623"/>
      <c r="G15" s="1623"/>
      <c r="H15" s="1623"/>
      <c r="I15" s="1623"/>
      <c r="J15" s="1623"/>
      <c r="K15" s="1623"/>
      <c r="L15" s="1623"/>
      <c r="M15" s="1623"/>
      <c r="N15" s="1623"/>
      <c r="O15" s="1623"/>
      <c r="P15" s="1623"/>
    </row>
    <row r="16" spans="1:16" ht="13.5">
      <c r="A16" s="1625"/>
      <c r="B16" s="1626" t="s">
        <v>2380</v>
      </c>
      <c r="C16" s="1625"/>
      <c r="D16" s="1625"/>
      <c r="E16" s="1625"/>
      <c r="F16" s="1623"/>
      <c r="G16" s="1627" t="s">
        <v>4738</v>
      </c>
      <c r="H16" s="1625"/>
      <c r="I16" s="1625"/>
      <c r="J16" s="1625"/>
      <c r="K16" s="1625"/>
      <c r="L16" s="1623"/>
      <c r="M16" s="1625"/>
      <c r="N16" s="1625"/>
      <c r="O16" s="1625"/>
      <c r="P16" s="1628" t="s">
        <v>3898</v>
      </c>
    </row>
    <row r="17" spans="1:16" ht="14.25" customHeight="1">
      <c r="A17" s="1625"/>
      <c r="B17" s="1629"/>
      <c r="C17" s="1629"/>
      <c r="D17" s="1629"/>
      <c r="E17" s="1629"/>
      <c r="F17" s="1623"/>
      <c r="G17" s="1627" t="s">
        <v>4739</v>
      </c>
      <c r="H17" s="1630"/>
      <c r="I17" s="1630"/>
      <c r="J17" s="1630"/>
      <c r="K17" s="1625"/>
      <c r="L17" s="1625"/>
      <c r="M17" s="1625"/>
      <c r="N17" s="1625"/>
      <c r="O17" s="1622" t="str">
        <f>'Part I-Project Information'!$O$6</f>
        <v>2018-013</v>
      </c>
      <c r="P17" s="1622"/>
    </row>
    <row r="18" spans="1:16">
      <c r="A18" s="1625"/>
      <c r="B18" s="1629"/>
      <c r="C18" s="1629"/>
      <c r="D18" s="1629"/>
      <c r="E18" s="1629"/>
      <c r="F18" s="1622"/>
      <c r="G18" s="1631" t="s">
        <v>3339</v>
      </c>
      <c r="H18" s="1630"/>
      <c r="I18" s="1630"/>
      <c r="J18" s="1630"/>
      <c r="K18" s="1625"/>
      <c r="L18" s="1625"/>
      <c r="M18" s="1625"/>
      <c r="N18" s="1625"/>
      <c r="O18" s="1625"/>
      <c r="P18" s="1625"/>
    </row>
    <row r="19" spans="1:16">
      <c r="A19" s="1623"/>
      <c r="B19" s="1622"/>
      <c r="C19" s="1622"/>
      <c r="D19" s="1622"/>
      <c r="E19" s="1630"/>
      <c r="F19" s="1625"/>
      <c r="G19" s="1625"/>
      <c r="H19" s="1630"/>
      <c r="I19" s="1630"/>
      <c r="J19" s="1625"/>
      <c r="K19" s="1625"/>
      <c r="L19" s="1625"/>
      <c r="M19" s="1630"/>
      <c r="N19" s="1625"/>
      <c r="O19" s="1625"/>
      <c r="P19" s="1625"/>
    </row>
    <row r="20" spans="1:16">
      <c r="A20" s="1622" t="s">
        <v>622</v>
      </c>
      <c r="B20" s="1622" t="s">
        <v>2391</v>
      </c>
      <c r="C20" s="1625"/>
      <c r="D20" s="1632"/>
      <c r="E20" s="1630"/>
      <c r="F20" s="1633" t="s">
        <v>3826</v>
      </c>
      <c r="G20" s="1625"/>
      <c r="H20" s="1625"/>
      <c r="I20" s="1634">
        <f>'Part IV-A-Uses of Funds'!$J$175</f>
        <v>874237</v>
      </c>
      <c r="J20" s="1634"/>
      <c r="K20" s="1625"/>
      <c r="L20" s="1625" t="s">
        <v>3827</v>
      </c>
      <c r="M20" s="1625"/>
      <c r="N20" s="1625"/>
      <c r="O20" s="1635">
        <f>'Part III-Sources of Funds'!$E$11</f>
        <v>0</v>
      </c>
      <c r="P20" s="1635"/>
    </row>
    <row r="21" spans="1:16">
      <c r="A21" s="1622"/>
      <c r="B21" s="1622"/>
      <c r="C21" s="1625"/>
      <c r="D21" s="1632"/>
      <c r="E21" s="1630"/>
      <c r="F21" s="1630"/>
      <c r="G21" s="1625"/>
      <c r="H21" s="1625"/>
      <c r="I21" s="1626"/>
      <c r="J21" s="1625"/>
      <c r="K21" s="1625"/>
      <c r="L21" s="1625"/>
      <c r="M21" s="1625"/>
      <c r="N21" s="1636"/>
      <c r="O21" s="1625"/>
      <c r="P21" s="1625"/>
    </row>
    <row r="22" spans="1:16" ht="13.5">
      <c r="A22" s="1626" t="s">
        <v>748</v>
      </c>
      <c r="B22" s="1622" t="s">
        <v>2056</v>
      </c>
      <c r="C22" s="1625"/>
      <c r="D22" s="1625"/>
      <c r="E22" s="1625"/>
      <c r="F22" s="1637" t="str">
        <f>'Part I-Project Information'!$F$11</f>
        <v>9% Credit Competitive Round only</v>
      </c>
      <c r="G22" s="1637"/>
      <c r="H22" s="1637"/>
      <c r="I22" s="1638" t="s">
        <v>3741</v>
      </c>
      <c r="J22" s="1622" t="s">
        <v>4740</v>
      </c>
      <c r="K22" s="1622"/>
      <c r="L22" s="1630"/>
      <c r="M22" s="1625"/>
      <c r="N22" s="1625"/>
      <c r="O22" s="1625" t="str">
        <f>'Part I-Project Information'!$O$11</f>
        <v>2018PA-039</v>
      </c>
      <c r="P22" s="1625"/>
    </row>
    <row r="23" spans="1:16" ht="13.5" customHeight="1">
      <c r="A23" s="1623"/>
      <c r="B23" s="1639" t="s">
        <v>4519</v>
      </c>
      <c r="C23" s="1639"/>
      <c r="D23" s="1639"/>
      <c r="E23" s="1625"/>
      <c r="F23" s="1625"/>
      <c r="G23" s="1625"/>
      <c r="H23" s="1630"/>
      <c r="I23" s="1625"/>
      <c r="J23" s="1633" t="s">
        <v>2751</v>
      </c>
      <c r="K23" s="1626"/>
      <c r="L23" s="1625"/>
      <c r="M23" s="1630"/>
      <c r="N23" s="1625"/>
      <c r="O23" s="1637" t="str">
        <f>'Part I-Project Information'!$O$12</f>
        <v>No</v>
      </c>
      <c r="P23" s="1637"/>
    </row>
    <row r="24" spans="1:16" ht="12.75" customHeight="1">
      <c r="A24" s="1623"/>
      <c r="B24" s="1639"/>
      <c r="C24" s="1639"/>
      <c r="D24" s="1639"/>
      <c r="E24" s="1625"/>
      <c r="F24" s="1625"/>
      <c r="G24" s="1625"/>
      <c r="H24" s="1630"/>
      <c r="I24" s="1625"/>
      <c r="J24" s="1633"/>
      <c r="K24" s="1626"/>
      <c r="L24" s="1625"/>
      <c r="M24" s="1630"/>
      <c r="N24" s="1625"/>
      <c r="O24" s="1625"/>
      <c r="P24" s="1625"/>
    </row>
    <row r="25" spans="1:16">
      <c r="A25" s="1623"/>
      <c r="B25" s="1639"/>
      <c r="C25" s="1639"/>
      <c r="D25" s="1639"/>
      <c r="E25" s="1625"/>
      <c r="F25" s="1640" t="str">
        <f>'Part I-Project Information'!$F$14</f>
        <v>No</v>
      </c>
      <c r="G25" s="1633" t="s">
        <v>3824</v>
      </c>
      <c r="K25" s="1625"/>
      <c r="L25" s="1625"/>
      <c r="M25" s="1625"/>
      <c r="N25" s="1625"/>
      <c r="O25" s="1625"/>
      <c r="P25" s="1625"/>
    </row>
    <row r="26" spans="1:16">
      <c r="A26" s="1623"/>
      <c r="B26" s="1625" t="s">
        <v>3899</v>
      </c>
      <c r="C26" s="1625"/>
      <c r="D26" s="1622"/>
      <c r="E26" s="1625"/>
      <c r="F26" s="1641">
        <f>'Part I-Project Information'!$F$15</f>
        <v>0</v>
      </c>
      <c r="G26" s="1641"/>
      <c r="H26" s="1641"/>
      <c r="I26" s="1641"/>
      <c r="J26" s="1641"/>
      <c r="K26" s="1641"/>
      <c r="L26" s="1625" t="s">
        <v>3823</v>
      </c>
      <c r="M26" s="1625"/>
      <c r="N26" s="1625"/>
      <c r="O26" s="1625">
        <f>'Part I-Project Information'!$O$15</f>
        <v>0</v>
      </c>
      <c r="P26" s="1625"/>
    </row>
    <row r="27" spans="1:16">
      <c r="A27" s="1623"/>
      <c r="B27" s="1625" t="s">
        <v>3825</v>
      </c>
      <c r="C27" s="1625"/>
      <c r="D27" s="1625"/>
      <c r="E27" s="1625"/>
      <c r="F27" s="1640" t="str">
        <f>'Part I-Project Information'!F16</f>
        <v>No</v>
      </c>
      <c r="G27" s="1625" t="s">
        <v>3882</v>
      </c>
      <c r="H27" s="1630"/>
      <c r="I27" s="1631"/>
      <c r="J27" s="1633"/>
      <c r="K27" s="1625"/>
      <c r="L27" s="1625"/>
      <c r="M27" s="1642" t="str">
        <f>'Part I-Project Information'!M16</f>
        <v>Qualified w/out Conditions</v>
      </c>
      <c r="N27" s="1642"/>
      <c r="O27" s="1642"/>
      <c r="P27" s="1642"/>
    </row>
    <row r="28" spans="1:16">
      <c r="A28" s="1625"/>
      <c r="B28" s="1625"/>
      <c r="C28" s="1625"/>
      <c r="D28" s="1625"/>
      <c r="E28" s="1625"/>
      <c r="F28" s="1625"/>
      <c r="G28" s="1625"/>
      <c r="H28" s="1625"/>
      <c r="I28" s="1632"/>
      <c r="J28" s="1632"/>
      <c r="K28" s="1632"/>
      <c r="L28" s="1632"/>
      <c r="M28" s="1632"/>
      <c r="N28" s="1632"/>
      <c r="O28" s="1632"/>
      <c r="P28" s="1632"/>
    </row>
    <row r="29" spans="1:16">
      <c r="A29" s="1626" t="s">
        <v>750</v>
      </c>
      <c r="B29" s="1622" t="s">
        <v>1485</v>
      </c>
      <c r="C29" s="1625"/>
      <c r="D29" s="1633"/>
      <c r="E29" s="1630"/>
      <c r="F29" s="1625"/>
      <c r="G29" s="1630"/>
      <c r="H29" s="1630"/>
      <c r="I29" s="1630"/>
      <c r="J29" s="1625"/>
      <c r="K29" s="1625"/>
      <c r="L29" s="1636"/>
      <c r="M29" s="1625"/>
      <c r="N29" s="1625"/>
      <c r="O29" s="1625"/>
      <c r="P29" s="1625"/>
    </row>
    <row r="30" spans="1:16">
      <c r="A30" s="1626"/>
      <c r="B30" s="1630"/>
      <c r="C30" s="1622"/>
      <c r="D30" s="1633"/>
      <c r="E30" s="1630"/>
      <c r="F30" s="1625"/>
      <c r="G30" s="1630"/>
      <c r="H30" s="1630"/>
      <c r="I30" s="1630"/>
      <c r="J30" s="1625"/>
      <c r="K30" s="1636"/>
      <c r="L30" s="1636"/>
      <c r="M30" s="1625"/>
      <c r="N30" s="1625"/>
      <c r="O30" s="1623"/>
      <c r="P30" s="1625"/>
    </row>
    <row r="31" spans="1:16">
      <c r="A31" s="1625"/>
      <c r="B31" s="1625" t="s">
        <v>3909</v>
      </c>
      <c r="C31" s="1625"/>
      <c r="D31" s="1625"/>
      <c r="E31" s="1625"/>
      <c r="F31" s="1625" t="str">
        <f>'Part I-Project Information'!F20</f>
        <v>In-Fill Housing II, Inc.</v>
      </c>
      <c r="G31" s="1625">
        <f>'Part I-Project Information'!G20</f>
        <v>0</v>
      </c>
      <c r="H31" s="1625">
        <f>'Part I-Project Information'!H20</f>
        <v>0</v>
      </c>
      <c r="I31" s="1625" t="s">
        <v>1810</v>
      </c>
      <c r="J31" s="1625" t="str">
        <f>'Part I-Project Information'!J20</f>
        <v>Kathleen Mathews</v>
      </c>
      <c r="K31" s="1625">
        <f>'Part I-Project Information'!K20</f>
        <v>0</v>
      </c>
      <c r="L31" s="1625">
        <f>'Part I-Project Information'!L20</f>
        <v>0</v>
      </c>
      <c r="M31" s="1633" t="s">
        <v>1996</v>
      </c>
      <c r="N31" s="1625" t="str">
        <f>'Part I-Project Information'!N20</f>
        <v>Development Operations Mgr</v>
      </c>
      <c r="O31" s="1625">
        <f>'Part I-Project Information'!O20</f>
        <v>0</v>
      </c>
      <c r="P31" s="1625">
        <f>'Part I-Project Information'!P20</f>
        <v>0</v>
      </c>
    </row>
    <row r="32" spans="1:16" ht="12.75" customHeight="1">
      <c r="A32" s="1625"/>
      <c r="B32" s="1633" t="s">
        <v>1997</v>
      </c>
      <c r="C32" s="1625"/>
      <c r="D32" s="1625"/>
      <c r="E32" s="1625"/>
      <c r="F32" s="1625" t="str">
        <f>'Part I-Project Information'!F21</f>
        <v>2015 Felton Avenue</v>
      </c>
      <c r="G32" s="1625">
        <f>'Part I-Project Information'!G21</f>
        <v>0</v>
      </c>
      <c r="H32" s="1625">
        <f>'Part I-Project Information'!H21</f>
        <v>0</v>
      </c>
      <c r="I32" s="1625">
        <f>'Part I-Project Information'!I21</f>
        <v>0</v>
      </c>
      <c r="J32" s="1625">
        <f>'Part I-Project Information'!J21</f>
        <v>0</v>
      </c>
      <c r="K32" s="1625">
        <f>'Part I-Project Information'!K21</f>
        <v>0</v>
      </c>
      <c r="L32" s="1625">
        <f>'Part I-Project Information'!L21</f>
        <v>0</v>
      </c>
      <c r="M32" s="1643" t="s">
        <v>3908</v>
      </c>
      <c r="N32" s="1643"/>
      <c r="O32" s="1643"/>
      <c r="P32" s="1643"/>
    </row>
    <row r="33" spans="1:16" ht="12.75" customHeight="1">
      <c r="A33" s="1625"/>
      <c r="B33" s="1633" t="s">
        <v>624</v>
      </c>
      <c r="C33" s="1625"/>
      <c r="D33" s="1625"/>
      <c r="E33" s="1625"/>
      <c r="F33" s="1625" t="str">
        <f>'Part I-Project Information'!F22</f>
        <v>Macon</v>
      </c>
      <c r="G33" s="1625">
        <f>'Part I-Project Information'!G22</f>
        <v>0</v>
      </c>
      <c r="H33" s="1625">
        <f>'Part I-Project Information'!H22</f>
        <v>0</v>
      </c>
      <c r="I33" s="1633" t="s">
        <v>1812</v>
      </c>
      <c r="J33" s="1644" t="str">
        <f>'Part I-Project Information'!J22</f>
        <v>GA</v>
      </c>
      <c r="K33" s="1625"/>
      <c r="L33" s="1625"/>
      <c r="M33" s="1643"/>
      <c r="N33" s="1643"/>
      <c r="O33" s="1643"/>
      <c r="P33" s="1643"/>
    </row>
    <row r="34" spans="1:16">
      <c r="A34" s="1625"/>
      <c r="B34" s="1633" t="s">
        <v>2245</v>
      </c>
      <c r="C34" s="1625"/>
      <c r="D34" s="1625"/>
      <c r="E34" s="1625"/>
      <c r="F34" s="1645">
        <f>'Part I-Project Information'!F23</f>
        <v>312012404</v>
      </c>
      <c r="G34" s="1645">
        <f>'Part I-Project Information'!G23</f>
        <v>0</v>
      </c>
      <c r="H34" s="1645">
        <f>'Part I-Project Information'!H23</f>
        <v>0</v>
      </c>
      <c r="I34" s="1633" t="s">
        <v>1733</v>
      </c>
      <c r="J34" s="1646">
        <f>'Part I-Project Information'!J23</f>
        <v>4787525060</v>
      </c>
      <c r="K34" s="1646">
        <f>'Part I-Project Information'!K23</f>
        <v>0</v>
      </c>
      <c r="L34" s="1630" t="s">
        <v>1732</v>
      </c>
      <c r="M34" s="1630">
        <f>'Part I-Project Information'!M23</f>
        <v>0</v>
      </c>
      <c r="N34" s="1633" t="s">
        <v>1734</v>
      </c>
      <c r="O34" s="1646">
        <f>'Part I-Project Information'!O23</f>
        <v>4787525060</v>
      </c>
      <c r="P34" s="1646">
        <f>'Part I-Project Information'!P23</f>
        <v>0</v>
      </c>
    </row>
    <row r="35" spans="1:16">
      <c r="A35" s="1625"/>
      <c r="B35" s="1633" t="s">
        <v>2000</v>
      </c>
      <c r="C35" s="1625"/>
      <c r="D35" s="1625"/>
      <c r="E35" s="1625"/>
      <c r="F35" s="1625" t="str">
        <f>'Part I-Project Information'!F24</f>
        <v>kmathews@maconhousing.com</v>
      </c>
      <c r="G35" s="1625">
        <f>'Part I-Project Information'!G24</f>
        <v>0</v>
      </c>
      <c r="H35" s="1625">
        <f>'Part I-Project Information'!H24</f>
        <v>0</v>
      </c>
      <c r="I35" s="1625">
        <f>'Part I-Project Information'!I24</f>
        <v>0</v>
      </c>
      <c r="J35" s="1625">
        <f>'Part I-Project Information'!J24</f>
        <v>0</v>
      </c>
      <c r="K35" s="1625">
        <f>'Part I-Project Information'!K24</f>
        <v>0</v>
      </c>
      <c r="L35" s="1625"/>
      <c r="M35" s="1625"/>
      <c r="N35" s="1633" t="s">
        <v>1995</v>
      </c>
      <c r="O35" s="1646">
        <f>'Part I-Project Information'!O24</f>
        <v>4787140748</v>
      </c>
      <c r="P35" s="1646">
        <f>'Part I-Project Information'!P24</f>
        <v>0</v>
      </c>
    </row>
    <row r="36" spans="1:16">
      <c r="A36" s="1623"/>
      <c r="B36" s="1622" t="s">
        <v>4110</v>
      </c>
      <c r="C36" s="1632"/>
      <c r="D36" s="1625"/>
      <c r="E36" s="1625"/>
      <c r="F36" s="1625"/>
      <c r="G36" s="1625"/>
      <c r="H36" s="1630"/>
      <c r="I36" s="1625"/>
      <c r="J36" s="1632"/>
      <c r="K36" s="1625"/>
      <c r="L36" s="1625"/>
      <c r="M36" s="1625"/>
      <c r="N36" s="1625"/>
      <c r="O36" s="1625"/>
      <c r="P36" s="1647"/>
    </row>
    <row r="37" spans="1:16">
      <c r="A37" s="1625"/>
      <c r="B37" s="1625" t="s">
        <v>3909</v>
      </c>
      <c r="C37" s="1625"/>
      <c r="D37" s="1625"/>
      <c r="E37" s="1625"/>
      <c r="F37" s="1625" t="str">
        <f>'Part I-Project Information'!F26</f>
        <v>In-Fill Housing II, Inc.</v>
      </c>
      <c r="G37" s="1625">
        <f>'Part I-Project Information'!G26</f>
        <v>0</v>
      </c>
      <c r="H37" s="1625">
        <f>'Part I-Project Information'!H26</f>
        <v>0</v>
      </c>
      <c r="I37" s="1625" t="s">
        <v>1810</v>
      </c>
      <c r="J37" s="1625" t="str">
        <f>'Part I-Project Information'!J26</f>
        <v>Mike Austin</v>
      </c>
      <c r="K37" s="1625">
        <f>'Part I-Project Information'!K26</f>
        <v>0</v>
      </c>
      <c r="L37" s="1625">
        <f>'Part I-Project Information'!L26</f>
        <v>0</v>
      </c>
      <c r="M37" s="1633" t="s">
        <v>1996</v>
      </c>
      <c r="N37" s="1625" t="str">
        <f>'Part I-Project Information'!N26</f>
        <v>CEO</v>
      </c>
      <c r="O37" s="1625">
        <f>'Part I-Project Information'!O26</f>
        <v>0</v>
      </c>
      <c r="P37" s="1625">
        <f>'Part I-Project Information'!P26</f>
        <v>0</v>
      </c>
    </row>
    <row r="38" spans="1:16" ht="12.75" customHeight="1">
      <c r="A38" s="1625"/>
      <c r="B38" s="1633" t="s">
        <v>1997</v>
      </c>
      <c r="C38" s="1625"/>
      <c r="D38" s="1625"/>
      <c r="E38" s="1625"/>
      <c r="F38" s="1625" t="str">
        <f>'Part I-Project Information'!F27</f>
        <v>2015 Felton Avenue</v>
      </c>
      <c r="G38" s="1625">
        <f>'Part I-Project Information'!G27</f>
        <v>0</v>
      </c>
      <c r="H38" s="1625">
        <f>'Part I-Project Information'!H27</f>
        <v>0</v>
      </c>
      <c r="I38" s="1625">
        <f>'Part I-Project Information'!I27</f>
        <v>0</v>
      </c>
      <c r="J38" s="1625">
        <f>'Part I-Project Information'!J27</f>
        <v>0</v>
      </c>
      <c r="K38" s="1625">
        <f>'Part I-Project Information'!K27</f>
        <v>0</v>
      </c>
      <c r="L38" s="1625">
        <f>'Part I-Project Information'!L27</f>
        <v>0</v>
      </c>
      <c r="M38" s="1643" t="s">
        <v>3908</v>
      </c>
      <c r="N38" s="1643"/>
      <c r="O38" s="1643"/>
      <c r="P38" s="1643"/>
    </row>
    <row r="39" spans="1:16" ht="12.75" customHeight="1">
      <c r="A39" s="1625"/>
      <c r="B39" s="1633" t="s">
        <v>624</v>
      </c>
      <c r="C39" s="1625"/>
      <c r="D39" s="1625"/>
      <c r="E39" s="1625"/>
      <c r="F39" s="1625" t="str">
        <f>'Part I-Project Information'!F28</f>
        <v>Macon</v>
      </c>
      <c r="G39" s="1625">
        <f>'Part I-Project Information'!G28</f>
        <v>0</v>
      </c>
      <c r="H39" s="1625">
        <f>'Part I-Project Information'!H28</f>
        <v>0</v>
      </c>
      <c r="I39" s="1633" t="s">
        <v>1812</v>
      </c>
      <c r="J39" s="1644" t="str">
        <f>'Part I-Project Information'!J28</f>
        <v>GA</v>
      </c>
      <c r="K39" s="1625"/>
      <c r="L39" s="1625"/>
      <c r="M39" s="1643"/>
      <c r="N39" s="1643"/>
      <c r="O39" s="1643"/>
      <c r="P39" s="1643"/>
    </row>
    <row r="40" spans="1:16">
      <c r="A40" s="1625"/>
      <c r="B40" s="1633" t="s">
        <v>2245</v>
      </c>
      <c r="C40" s="1625"/>
      <c r="D40" s="1625"/>
      <c r="E40" s="1625"/>
      <c r="F40" s="1645">
        <f>'Part I-Project Information'!F29</f>
        <v>312012404</v>
      </c>
      <c r="G40" s="1645">
        <f>'Part I-Project Information'!G29</f>
        <v>0</v>
      </c>
      <c r="H40" s="1645">
        <f>'Part I-Project Information'!H29</f>
        <v>0</v>
      </c>
      <c r="I40" s="1633" t="s">
        <v>1733</v>
      </c>
      <c r="J40" s="1646">
        <f>'Part I-Project Information'!J29</f>
        <v>4787525071</v>
      </c>
      <c r="K40" s="1646">
        <f>'Part I-Project Information'!K29</f>
        <v>0</v>
      </c>
      <c r="L40" s="1630" t="s">
        <v>1732</v>
      </c>
      <c r="M40" s="1630">
        <f>'Part I-Project Information'!M29</f>
        <v>0</v>
      </c>
      <c r="N40" s="1633" t="s">
        <v>1734</v>
      </c>
      <c r="O40" s="1646">
        <f>'Part I-Project Information'!O29</f>
        <v>4787525070</v>
      </c>
      <c r="P40" s="1646">
        <f>'Part I-Project Information'!P29</f>
        <v>0</v>
      </c>
    </row>
    <row r="41" spans="1:16">
      <c r="A41" s="1625"/>
      <c r="B41" s="1633" t="s">
        <v>2000</v>
      </c>
      <c r="C41" s="1625"/>
      <c r="D41" s="1625"/>
      <c r="E41" s="1625"/>
      <c r="F41" s="1625" t="str">
        <f>'Part I-Project Information'!F30</f>
        <v>maustin@maconhousing.com</v>
      </c>
      <c r="G41" s="1625">
        <f>'Part I-Project Information'!G30</f>
        <v>0</v>
      </c>
      <c r="H41" s="1625">
        <f>'Part I-Project Information'!H30</f>
        <v>0</v>
      </c>
      <c r="I41" s="1625">
        <f>'Part I-Project Information'!I30</f>
        <v>0</v>
      </c>
      <c r="J41" s="1625">
        <f>'Part I-Project Information'!J30</f>
        <v>0</v>
      </c>
      <c r="K41" s="1625">
        <f>'Part I-Project Information'!K30</f>
        <v>0</v>
      </c>
      <c r="L41" s="1625"/>
      <c r="M41" s="1625"/>
      <c r="N41" s="1633" t="s">
        <v>1995</v>
      </c>
      <c r="O41" s="1646">
        <f>'Part I-Project Information'!O30</f>
        <v>4783207044</v>
      </c>
      <c r="P41" s="1646">
        <f>'Part I-Project Information'!P30</f>
        <v>0</v>
      </c>
    </row>
    <row r="42" spans="1:16">
      <c r="A42" s="1623"/>
      <c r="B42" s="1623"/>
      <c r="C42" s="1632"/>
      <c r="D42" s="1625"/>
      <c r="E42" s="1625"/>
      <c r="F42" s="1625"/>
      <c r="G42" s="1625"/>
      <c r="H42" s="1630"/>
      <c r="I42" s="1625"/>
      <c r="J42" s="1632"/>
      <c r="K42" s="1625"/>
      <c r="L42" s="1625"/>
      <c r="M42" s="1625"/>
      <c r="N42" s="1625"/>
      <c r="O42" s="1625"/>
      <c r="P42" s="1647"/>
    </row>
    <row r="43" spans="1:16">
      <c r="A43" s="1626" t="s">
        <v>1805</v>
      </c>
      <c r="B43" s="1622" t="s">
        <v>1486</v>
      </c>
      <c r="C43" s="1625"/>
      <c r="D43" s="1632"/>
      <c r="E43" s="1630"/>
      <c r="F43" s="1630"/>
      <c r="G43" s="1633"/>
      <c r="H43" s="1630"/>
      <c r="I43" s="1630"/>
      <c r="J43" s="1630"/>
      <c r="K43" s="1625"/>
      <c r="L43" s="1636"/>
      <c r="M43" s="1636"/>
      <c r="N43" s="1625"/>
      <c r="O43" s="1625"/>
      <c r="P43" s="1625"/>
    </row>
    <row r="44" spans="1:16">
      <c r="A44" s="1626"/>
      <c r="B44" s="1622"/>
      <c r="C44" s="1625"/>
      <c r="D44" s="1632"/>
      <c r="E44" s="1630"/>
      <c r="F44" s="1630"/>
      <c r="G44" s="1633"/>
      <c r="H44" s="1630"/>
      <c r="I44" s="1630"/>
      <c r="J44" s="1630"/>
      <c r="K44" s="1625"/>
      <c r="L44" s="1636"/>
      <c r="M44" s="1625"/>
      <c r="N44" s="1625"/>
      <c r="O44" s="1625"/>
      <c r="P44" s="1625"/>
    </row>
    <row r="45" spans="1:16">
      <c r="A45" s="1622"/>
      <c r="B45" s="1625" t="s">
        <v>623</v>
      </c>
      <c r="C45" s="1625"/>
      <c r="D45" s="1622"/>
      <c r="E45" s="1625"/>
      <c r="F45" s="1641" t="str">
        <f>'Part I-Project Information'!F34</f>
        <v>Tindall Fields III</v>
      </c>
      <c r="G45" s="1641">
        <f>'Part I-Project Information'!G34</f>
        <v>0</v>
      </c>
      <c r="H45" s="1641">
        <f>'Part I-Project Information'!H34</f>
        <v>0</v>
      </c>
      <c r="I45" s="1641">
        <f>'Part I-Project Information'!I34</f>
        <v>0</v>
      </c>
      <c r="J45" s="1641">
        <f>'Part I-Project Information'!J34</f>
        <v>0</v>
      </c>
      <c r="K45" s="1641">
        <f>'Part I-Project Information'!K34</f>
        <v>0</v>
      </c>
      <c r="L45" s="1633" t="s">
        <v>2208</v>
      </c>
      <c r="M45" s="1625"/>
      <c r="N45" s="1625"/>
      <c r="O45" s="1625" t="str">
        <f>'Part I-Project Information'!O34</f>
        <v>Yes- w/Master Plan</v>
      </c>
      <c r="P45" s="1625">
        <f>'Part I-Project Information'!P34</f>
        <v>0</v>
      </c>
    </row>
    <row r="46" spans="1:16">
      <c r="A46" s="1628"/>
      <c r="B46" s="1625" t="s">
        <v>2716</v>
      </c>
      <c r="C46" s="1625"/>
      <c r="D46" s="1636"/>
      <c r="E46" s="1625"/>
      <c r="F46" s="1625" t="str">
        <f>'Part I-Project Information'!F35</f>
        <v>TBD</v>
      </c>
      <c r="G46" s="1625">
        <f>'Part I-Project Information'!G35</f>
        <v>0</v>
      </c>
      <c r="H46" s="1625">
        <f>'Part I-Project Information'!H35</f>
        <v>0</v>
      </c>
      <c r="I46" s="1625">
        <f>'Part I-Project Information'!I35</f>
        <v>0</v>
      </c>
      <c r="J46" s="1625">
        <f>'Part I-Project Information'!J35</f>
        <v>0</v>
      </c>
      <c r="K46" s="1625">
        <f>'Part I-Project Information'!K35</f>
        <v>0</v>
      </c>
      <c r="L46" s="1625" t="s">
        <v>3709</v>
      </c>
      <c r="M46" s="1625"/>
      <c r="N46" s="1625"/>
      <c r="O46" s="1625" t="str">
        <f>'Part I-Project Information'!O35</f>
        <v>2017-028</v>
      </c>
      <c r="P46" s="1625">
        <f>'Part I-Project Information'!P35</f>
        <v>0</v>
      </c>
    </row>
    <row r="47" spans="1:16">
      <c r="A47" s="1628"/>
      <c r="B47" s="1625" t="s">
        <v>4741</v>
      </c>
      <c r="C47" s="1625"/>
      <c r="D47" s="1636"/>
      <c r="E47" s="1625"/>
      <c r="F47" s="1625" t="str">
        <f>'Part I-Project Information'!F36</f>
        <v>985 Plant Street</v>
      </c>
      <c r="G47" s="1625">
        <f>'Part I-Project Information'!G36</f>
        <v>0</v>
      </c>
      <c r="H47" s="1625">
        <f>'Part I-Project Information'!H36</f>
        <v>0</v>
      </c>
      <c r="I47" s="1625">
        <f>'Part I-Project Information'!I36</f>
        <v>0</v>
      </c>
      <c r="J47" s="1625">
        <f>'Part I-Project Information'!J36</f>
        <v>0</v>
      </c>
      <c r="K47" s="1625">
        <f>'Part I-Project Information'!K36</f>
        <v>0</v>
      </c>
      <c r="L47" s="1633" t="s">
        <v>2066</v>
      </c>
      <c r="M47" s="1625"/>
      <c r="N47" s="1630" t="str">
        <f>'Part I-Project Information'!N36</f>
        <v>No</v>
      </c>
      <c r="O47" s="1630" t="s">
        <v>3708</v>
      </c>
      <c r="P47" s="1630">
        <f>'Part I-Project Information'!P36</f>
        <v>0</v>
      </c>
    </row>
    <row r="48" spans="1:16">
      <c r="A48" s="1628"/>
      <c r="B48" s="1625" t="s">
        <v>3763</v>
      </c>
      <c r="C48" s="1625"/>
      <c r="D48" s="1636"/>
      <c r="E48" s="1625"/>
      <c r="F48" s="1625" t="s">
        <v>3743</v>
      </c>
      <c r="G48" s="1648">
        <f>'Part I-Project Information'!G37</f>
        <v>32.823365000000003</v>
      </c>
      <c r="H48" s="1648">
        <f>'Part I-Project Information'!H37</f>
        <v>0</v>
      </c>
      <c r="I48" s="1630" t="s">
        <v>3744</v>
      </c>
      <c r="J48" s="1648">
        <f>'Part I-Project Information'!J37</f>
        <v>-83.646660999999995</v>
      </c>
      <c r="K48" s="1648">
        <f>'Part I-Project Information'!K37</f>
        <v>0</v>
      </c>
      <c r="L48" s="1633" t="s">
        <v>2299</v>
      </c>
      <c r="M48" s="1625"/>
      <c r="N48" s="1625"/>
      <c r="O48" s="1649">
        <f>'Part I-Project Information'!O37</f>
        <v>4.5810000000000004</v>
      </c>
      <c r="P48" s="1649">
        <f>'Part I-Project Information'!P37</f>
        <v>0</v>
      </c>
    </row>
    <row r="49" spans="1:16" ht="16.5">
      <c r="A49" s="1623"/>
      <c r="B49" s="1625" t="s">
        <v>624</v>
      </c>
      <c r="C49" s="1625"/>
      <c r="D49" s="1625"/>
      <c r="E49" s="1625"/>
      <c r="F49" s="1625" t="str">
        <f>'Part I-Project Information'!F38</f>
        <v>Macon</v>
      </c>
      <c r="G49" s="1625">
        <f>'Part I-Project Information'!G38</f>
        <v>0</v>
      </c>
      <c r="H49" s="1625">
        <f>'Part I-Project Information'!H38</f>
        <v>0</v>
      </c>
      <c r="I49" s="1650" t="s">
        <v>4742</v>
      </c>
      <c r="J49" s="1645">
        <f>'Part I-Project Information'!J38</f>
        <v>312012310</v>
      </c>
      <c r="K49" s="1645">
        <f>'Part I-Project Information'!K38</f>
        <v>0</v>
      </c>
      <c r="L49" s="1622" t="str">
        <f>IF(AND(NOT(F45=""),NOT(F49="Select from list"),J49=""),"Enter Zip!","")</f>
        <v/>
      </c>
      <c r="M49" s="1651" t="s">
        <v>2925</v>
      </c>
      <c r="N49" s="1625"/>
      <c r="O49" s="1652" t="str">
        <f>'Part I-Project Information'!O38</f>
        <v>105</v>
      </c>
      <c r="P49" s="1653">
        <f>'Part I-Project Information'!P38</f>
        <v>0</v>
      </c>
    </row>
    <row r="50" spans="1:16">
      <c r="A50" s="1623"/>
      <c r="B50" s="1625" t="s">
        <v>3591</v>
      </c>
      <c r="C50" s="1625"/>
      <c r="D50" s="1625"/>
      <c r="E50" s="1625"/>
      <c r="F50" s="1625" t="str">
        <f>'Part I-Project Information'!F39</f>
        <v>Within City Limits</v>
      </c>
      <c r="G50" s="1625">
        <f>'Part I-Project Information'!G39</f>
        <v>0</v>
      </c>
      <c r="H50" s="1625">
        <f>'Part I-Project Information'!H39</f>
        <v>0</v>
      </c>
      <c r="I50" s="1654" t="s">
        <v>625</v>
      </c>
      <c r="J50" s="1641" t="str">
        <f>'Part I-Project Information'!J39</f>
        <v>Bibb</v>
      </c>
      <c r="K50" s="1641">
        <f>'Part I-Project Information'!K39</f>
        <v>0</v>
      </c>
      <c r="L50" s="1625"/>
      <c r="M50" s="1633" t="s">
        <v>455</v>
      </c>
      <c r="N50" s="1655" t="str">
        <f>'Part I-Project Information'!N39</f>
        <v>Yes</v>
      </c>
      <c r="O50" s="1630" t="s">
        <v>456</v>
      </c>
      <c r="P50" s="1655" t="str">
        <f>'Part I-Project Information'!P39</f>
        <v>No</v>
      </c>
    </row>
    <row r="51" spans="1:16">
      <c r="A51" s="1623"/>
      <c r="B51" s="1622"/>
      <c r="C51" s="1625" t="s">
        <v>1570</v>
      </c>
      <c r="D51" s="1625"/>
      <c r="E51" s="1625"/>
      <c r="F51" s="1633" t="str">
        <f>'Part I-Project Information'!F40</f>
        <v>No</v>
      </c>
      <c r="G51" s="1625" t="s">
        <v>2799</v>
      </c>
      <c r="H51" s="1625"/>
      <c r="I51" s="1630" t="str">
        <f>'Part I-Project Information'!I40</f>
        <v>No</v>
      </c>
      <c r="J51" s="1630" t="s">
        <v>2819</v>
      </c>
      <c r="K51" s="1630" t="str">
        <f>'Part I-Project Information'!K40</f>
        <v>Urban</v>
      </c>
      <c r="L51" s="1625"/>
      <c r="M51" s="1633" t="s">
        <v>2628</v>
      </c>
      <c r="N51" s="1623" t="str">
        <f>'Part I-Project Information'!N40</f>
        <v>MSA</v>
      </c>
      <c r="O51" s="1625" t="str">
        <f>'Part I-Project Information'!O40</f>
        <v>Macon</v>
      </c>
      <c r="P51" s="1625">
        <f>'Part I-Project Information'!P40</f>
        <v>0</v>
      </c>
    </row>
    <row r="52" spans="1:16">
      <c r="A52" s="1623"/>
      <c r="B52" s="1622"/>
      <c r="C52" s="1622"/>
      <c r="D52" s="1625"/>
      <c r="E52" s="1625"/>
      <c r="F52" s="1625"/>
      <c r="G52" s="1625"/>
      <c r="H52" s="1625"/>
      <c r="I52" s="1633"/>
      <c r="J52" s="1625"/>
      <c r="K52" s="1625"/>
      <c r="L52" s="1655"/>
      <c r="M52" s="1655"/>
      <c r="N52" s="1655"/>
      <c r="O52" s="1655"/>
      <c r="P52" s="1655"/>
    </row>
    <row r="53" spans="1:16" ht="13.5">
      <c r="A53" s="1623"/>
      <c r="B53" s="1625"/>
      <c r="C53" s="1625" t="s">
        <v>4743</v>
      </c>
      <c r="D53" s="1625"/>
      <c r="E53" s="1625"/>
      <c r="F53" s="1656" t="s">
        <v>2780</v>
      </c>
      <c r="G53" s="1656"/>
      <c r="H53" s="1625" t="s">
        <v>744</v>
      </c>
      <c r="I53" s="1625"/>
      <c r="J53" s="1625" t="s">
        <v>745</v>
      </c>
      <c r="K53" s="1625"/>
      <c r="L53" s="1657" t="s">
        <v>4542</v>
      </c>
      <c r="M53" s="1625"/>
      <c r="N53" s="1625"/>
      <c r="O53" s="1625"/>
      <c r="P53" s="1625"/>
    </row>
    <row r="54" spans="1:16">
      <c r="A54" s="1623"/>
      <c r="B54" s="1625" t="s">
        <v>4744</v>
      </c>
      <c r="C54" s="1625"/>
      <c r="D54" s="1622"/>
      <c r="E54" s="1625"/>
      <c r="F54" s="1658">
        <f>'Part I-Project Information'!F43</f>
        <v>2</v>
      </c>
      <c r="G54" s="1658">
        <f>'Part I-Project Information'!G43</f>
        <v>0</v>
      </c>
      <c r="H54" s="1658">
        <f>'Part I-Project Information'!H43</f>
        <v>26</v>
      </c>
      <c r="I54" s="1658">
        <f>'Part I-Project Information'!I43</f>
        <v>0</v>
      </c>
      <c r="J54" s="1658">
        <f>'Part I-Project Information'!J43</f>
        <v>143</v>
      </c>
      <c r="K54" s="1658">
        <f>'Part I-Project Information'!K43</f>
        <v>0</v>
      </c>
      <c r="L54" s="1631" t="s">
        <v>1295</v>
      </c>
      <c r="M54" s="1625"/>
      <c r="N54" s="1659" t="s">
        <v>1296</v>
      </c>
      <c r="O54" s="1659"/>
      <c r="P54" s="1659"/>
    </row>
    <row r="55" spans="1:16">
      <c r="A55" s="1623"/>
      <c r="B55" s="1633" t="s">
        <v>746</v>
      </c>
      <c r="C55" s="1625"/>
      <c r="D55" s="1625"/>
      <c r="E55" s="1625"/>
      <c r="F55" s="1658">
        <f>'Part I-Project Information'!F44</f>
        <v>0</v>
      </c>
      <c r="G55" s="1658">
        <f>'Part I-Project Information'!G44</f>
        <v>0</v>
      </c>
      <c r="H55" s="1658">
        <f>'Part I-Project Information'!H44</f>
        <v>0</v>
      </c>
      <c r="I55" s="1658">
        <f>'Part I-Project Information'!I44</f>
        <v>0</v>
      </c>
      <c r="J55" s="1658">
        <f>'Part I-Project Information'!J44</f>
        <v>0</v>
      </c>
      <c r="K55" s="1658">
        <f>'Part I-Project Information'!K44</f>
        <v>0</v>
      </c>
      <c r="L55" s="1631" t="s">
        <v>2778</v>
      </c>
      <c r="M55" s="1625"/>
      <c r="N55" s="1660" t="s">
        <v>2777</v>
      </c>
      <c r="O55" s="1660"/>
      <c r="P55" s="1625"/>
    </row>
    <row r="56" spans="1:16">
      <c r="A56" s="1623"/>
      <c r="B56" s="1625"/>
      <c r="C56" s="1625"/>
      <c r="D56" s="1625"/>
      <c r="E56" s="1625"/>
      <c r="F56" s="1625"/>
      <c r="G56" s="1625"/>
      <c r="H56" s="1625"/>
      <c r="I56" s="1655"/>
      <c r="J56" s="1655"/>
      <c r="K56" s="1655"/>
      <c r="L56" s="1625"/>
      <c r="M56" s="1625"/>
      <c r="N56" s="1625"/>
      <c r="O56" s="1625"/>
      <c r="P56" s="1625"/>
    </row>
    <row r="57" spans="1:16">
      <c r="A57" s="1623"/>
      <c r="B57" s="1622" t="s">
        <v>643</v>
      </c>
      <c r="C57" s="1625"/>
      <c r="D57" s="1625"/>
      <c r="E57" s="1625"/>
      <c r="F57" s="1661" t="str">
        <f>'Part I-Project Information'!F46</f>
        <v>Consolidated Government of Macon-Bibb</v>
      </c>
      <c r="G57" s="1661">
        <f>'Part I-Project Information'!G46</f>
        <v>0</v>
      </c>
      <c r="H57" s="1661">
        <f>'Part I-Project Information'!H46</f>
        <v>0</v>
      </c>
      <c r="I57" s="1661">
        <f>'Part I-Project Information'!I46</f>
        <v>0</v>
      </c>
      <c r="J57" s="1661">
        <f>'Part I-Project Information'!J46</f>
        <v>0</v>
      </c>
      <c r="K57" s="1661">
        <f>'Part I-Project Information'!K46</f>
        <v>0</v>
      </c>
      <c r="L57" s="1662" t="s">
        <v>2722</v>
      </c>
      <c r="M57" s="1625" t="str">
        <f>'Part I-Project Information'!M46</f>
        <v>http://www.maconbibb.us</v>
      </c>
      <c r="N57" s="1625">
        <f>'Part I-Project Information'!N46</f>
        <v>0</v>
      </c>
      <c r="O57" s="1625">
        <f>'Part I-Project Information'!O46</f>
        <v>0</v>
      </c>
      <c r="P57" s="1625">
        <f>'Part I-Project Information'!P46</f>
        <v>0</v>
      </c>
    </row>
    <row r="58" spans="1:16">
      <c r="A58" s="1623"/>
      <c r="B58" s="1625" t="s">
        <v>644</v>
      </c>
      <c r="C58" s="1625"/>
      <c r="D58" s="1625"/>
      <c r="E58" s="1625"/>
      <c r="F58" s="1661" t="str">
        <f>'Part I-Project Information'!F47</f>
        <v>Robert Reichert</v>
      </c>
      <c r="G58" s="1661">
        <f>'Part I-Project Information'!G47</f>
        <v>0</v>
      </c>
      <c r="H58" s="1661">
        <f>'Part I-Project Information'!H47</f>
        <v>0</v>
      </c>
      <c r="I58" s="1630" t="s">
        <v>1996</v>
      </c>
      <c r="J58" s="1625" t="str">
        <f>'Part I-Project Information'!J47</f>
        <v>Mayor</v>
      </c>
      <c r="K58" s="1625">
        <f>'Part I-Project Information'!K47</f>
        <v>0</v>
      </c>
      <c r="L58" s="1662"/>
      <c r="M58" s="1625"/>
      <c r="N58" s="1625"/>
      <c r="O58" s="1625"/>
      <c r="P58" s="1625"/>
    </row>
    <row r="59" spans="1:16">
      <c r="A59" s="1623"/>
      <c r="B59" s="1625" t="s">
        <v>1997</v>
      </c>
      <c r="C59" s="1625"/>
      <c r="D59" s="1625"/>
      <c r="E59" s="1625"/>
      <c r="F59" s="1661" t="str">
        <f>'Part I-Project Information'!F48</f>
        <v>700 Popular Street</v>
      </c>
      <c r="G59" s="1661">
        <f>'Part I-Project Information'!G48</f>
        <v>0</v>
      </c>
      <c r="H59" s="1661">
        <f>'Part I-Project Information'!H48</f>
        <v>0</v>
      </c>
      <c r="I59" s="1661">
        <f>'Part I-Project Information'!I48</f>
        <v>0</v>
      </c>
      <c r="J59" s="1661">
        <f>'Part I-Project Information'!J48</f>
        <v>0</v>
      </c>
      <c r="K59" s="1661">
        <f>'Part I-Project Information'!K48</f>
        <v>0</v>
      </c>
      <c r="L59" s="1633" t="s">
        <v>624</v>
      </c>
      <c r="M59" s="1661" t="str">
        <f>'Part I-Project Information'!M48</f>
        <v>Macon</v>
      </c>
      <c r="N59" s="1661">
        <f>'Part I-Project Information'!N48</f>
        <v>0</v>
      </c>
      <c r="O59" s="1661">
        <f>'Part I-Project Information'!O48</f>
        <v>0</v>
      </c>
      <c r="P59" s="1661">
        <f>'Part I-Project Information'!P48</f>
        <v>0</v>
      </c>
    </row>
    <row r="60" spans="1:16">
      <c r="A60" s="1623"/>
      <c r="B60" s="1633" t="s">
        <v>2245</v>
      </c>
      <c r="C60" s="1625"/>
      <c r="D60" s="1625"/>
      <c r="E60" s="1625"/>
      <c r="F60" s="1645">
        <f>'Part I-Project Information'!F49</f>
        <v>312012033</v>
      </c>
      <c r="G60" s="1645">
        <f>'Part I-Project Information'!G49</f>
        <v>0</v>
      </c>
      <c r="H60" s="1630" t="s">
        <v>1998</v>
      </c>
      <c r="I60" s="1646">
        <f>'Part I-Project Information'!I49</f>
        <v>4787517170</v>
      </c>
      <c r="J60" s="1646">
        <f>'Part I-Project Information'!J49</f>
        <v>0</v>
      </c>
      <c r="K60" s="1646">
        <f>'Part I-Project Information'!K49</f>
        <v>0</v>
      </c>
      <c r="L60" s="1633" t="s">
        <v>1813</v>
      </c>
      <c r="M60" s="1661" t="str">
        <f>'Part I-Project Information'!M49</f>
        <v>reichert@maconbibb.us</v>
      </c>
      <c r="N60" s="1661">
        <f>'Part I-Project Information'!N49</f>
        <v>0</v>
      </c>
      <c r="O60" s="1661">
        <f>'Part I-Project Information'!O49</f>
        <v>0</v>
      </c>
      <c r="P60" s="1661">
        <f>'Part I-Project Information'!P49</f>
        <v>0</v>
      </c>
    </row>
    <row r="61" spans="1:16">
      <c r="A61" s="1623"/>
      <c r="B61" s="1623"/>
      <c r="C61" s="1663"/>
      <c r="D61" s="1650"/>
      <c r="E61" s="1650"/>
      <c r="F61" s="1630"/>
      <c r="G61" s="1630"/>
      <c r="H61" s="1630"/>
      <c r="I61" s="1630"/>
      <c r="J61" s="1650"/>
      <c r="K61" s="1630"/>
      <c r="L61" s="1630"/>
      <c r="M61" s="1625"/>
      <c r="N61" s="1625"/>
      <c r="O61" s="1625"/>
      <c r="P61" s="1647"/>
    </row>
    <row r="62" spans="1:16">
      <c r="A62" s="1623"/>
      <c r="B62" s="1623"/>
      <c r="C62" s="1663"/>
      <c r="D62" s="1650"/>
      <c r="E62" s="1650"/>
      <c r="F62" s="1630"/>
      <c r="G62" s="1630"/>
      <c r="H62" s="1630"/>
      <c r="I62" s="1630"/>
      <c r="J62" s="1650"/>
      <c r="K62" s="1630"/>
      <c r="L62" s="1630"/>
      <c r="M62" s="1625"/>
      <c r="N62" s="1625"/>
      <c r="O62" s="1625"/>
      <c r="P62" s="1647"/>
    </row>
    <row r="63" spans="1:16">
      <c r="A63" s="1626" t="s">
        <v>1807</v>
      </c>
      <c r="B63" s="1622" t="s">
        <v>1487</v>
      </c>
      <c r="C63" s="1625"/>
      <c r="D63" s="1625"/>
      <c r="E63" s="1625"/>
      <c r="F63" s="1664"/>
      <c r="G63" s="1625"/>
      <c r="H63" s="1625"/>
      <c r="I63" s="1633"/>
      <c r="J63" s="1625"/>
      <c r="K63" s="1625"/>
      <c r="L63" s="1625"/>
      <c r="M63" s="1625"/>
      <c r="N63" s="1625"/>
      <c r="O63" s="1625"/>
      <c r="P63" s="1625"/>
    </row>
    <row r="64" spans="1:16">
      <c r="A64" s="1623"/>
      <c r="B64" s="1622"/>
      <c r="C64" s="1622"/>
      <c r="D64" s="1625"/>
      <c r="E64" s="1625"/>
      <c r="F64" s="1625"/>
      <c r="G64" s="1625"/>
      <c r="H64" s="1625"/>
      <c r="I64" s="1633"/>
      <c r="J64" s="1625"/>
      <c r="K64" s="1625"/>
      <c r="L64" s="1625"/>
      <c r="M64" s="1625"/>
      <c r="N64" s="1625"/>
      <c r="O64" s="1625"/>
      <c r="P64" s="1625"/>
    </row>
    <row r="65" spans="1:16">
      <c r="A65" s="1623"/>
      <c r="B65" s="1623" t="s">
        <v>1999</v>
      </c>
      <c r="C65" s="1622" t="s">
        <v>4745</v>
      </c>
      <c r="D65" s="1625"/>
      <c r="E65" s="1625"/>
      <c r="F65" s="1625"/>
      <c r="G65" s="1625"/>
      <c r="H65" s="1625"/>
      <c r="I65" s="1625"/>
      <c r="J65" s="1625"/>
      <c r="K65" s="1631"/>
      <c r="L65" s="1625"/>
      <c r="M65" s="1659"/>
      <c r="N65" s="1659"/>
      <c r="O65" s="1659"/>
      <c r="P65" s="1659"/>
    </row>
    <row r="66" spans="1:16" ht="13.5">
      <c r="A66" s="1632"/>
      <c r="B66" s="1623"/>
      <c r="C66" s="1625" t="s">
        <v>2311</v>
      </c>
      <c r="D66" s="1625"/>
      <c r="E66" s="1625"/>
      <c r="F66" s="1632"/>
      <c r="G66" s="1632"/>
      <c r="H66" s="1665">
        <f>'Part VI-Revenues &amp; Expenses'!$O$74</f>
        <v>65</v>
      </c>
      <c r="I66" s="1632"/>
      <c r="J66" s="1632"/>
      <c r="K66" s="1633" t="s">
        <v>3700</v>
      </c>
      <c r="L66" s="1625"/>
      <c r="M66" s="1666" t="s">
        <v>3699</v>
      </c>
      <c r="N66" s="1665">
        <f>'Part VI-Revenues &amp; Expenses'!$O$81</f>
        <v>0</v>
      </c>
      <c r="O66" s="1667" t="s">
        <v>3378</v>
      </c>
      <c r="P66" s="1665">
        <f>'Part VI-Revenues &amp; Expenses'!$O$82</f>
        <v>0</v>
      </c>
    </row>
    <row r="67" spans="1:16">
      <c r="A67" s="1623"/>
      <c r="B67" s="1623"/>
      <c r="C67" s="1668" t="s">
        <v>349</v>
      </c>
      <c r="D67" s="1625"/>
      <c r="E67" s="1625"/>
      <c r="F67" s="1625"/>
      <c r="G67" s="1625"/>
      <c r="H67" s="1665">
        <f>'Part VI-Revenues &amp; Expenses'!$O$80</f>
        <v>0</v>
      </c>
      <c r="I67" s="1625"/>
      <c r="J67" s="1625"/>
      <c r="K67" s="1668" t="s">
        <v>368</v>
      </c>
      <c r="L67" s="1625"/>
      <c r="M67" s="1625"/>
      <c r="N67" s="1625"/>
      <c r="O67" s="1625"/>
      <c r="P67" s="1665">
        <f>'Part VI-Revenues &amp; Expenses'!$O$84</f>
        <v>0</v>
      </c>
    </row>
    <row r="68" spans="1:16">
      <c r="A68" s="1625"/>
      <c r="B68" s="1623"/>
      <c r="C68" s="1633" t="s">
        <v>348</v>
      </c>
      <c r="D68" s="1625"/>
      <c r="E68" s="1625"/>
      <c r="F68" s="1625"/>
      <c r="G68" s="1625"/>
      <c r="H68" s="1665">
        <f>'Part VI-Revenues &amp; Expenses'!$O$77</f>
        <v>0</v>
      </c>
      <c r="I68" s="1669" t="s">
        <v>2930</v>
      </c>
      <c r="J68" s="1625"/>
      <c r="K68" s="1625" t="s">
        <v>350</v>
      </c>
      <c r="L68" s="1625"/>
      <c r="M68" s="1625"/>
      <c r="N68" s="1625"/>
      <c r="O68" s="1625"/>
      <c r="P68" s="1670">
        <f>'Part I-Project Information'!P57</f>
        <v>0</v>
      </c>
    </row>
    <row r="69" spans="1:16">
      <c r="A69" s="1623"/>
      <c r="B69" s="1625"/>
      <c r="C69" s="1625"/>
      <c r="D69" s="1625"/>
      <c r="E69" s="1625"/>
      <c r="F69" s="1625"/>
      <c r="G69" s="1625"/>
      <c r="H69" s="1625"/>
      <c r="I69" s="1625"/>
      <c r="J69" s="1625"/>
      <c r="K69" s="1625"/>
      <c r="L69" s="1625"/>
      <c r="M69" s="1625"/>
      <c r="N69" s="1625"/>
      <c r="O69" s="1625"/>
      <c r="P69" s="1625"/>
    </row>
    <row r="70" spans="1:16">
      <c r="A70" s="1623"/>
      <c r="B70" s="1623" t="s">
        <v>2001</v>
      </c>
      <c r="C70" s="1622" t="s">
        <v>2312</v>
      </c>
      <c r="D70" s="1625"/>
      <c r="E70" s="1625"/>
      <c r="F70" s="1625"/>
      <c r="G70" s="1625"/>
      <c r="H70" s="1630" t="str">
        <f>'Part I-Project Information'!H59</f>
        <v>No</v>
      </c>
      <c r="I70" s="1625"/>
      <c r="J70" s="1625"/>
      <c r="K70" s="1625"/>
      <c r="L70" s="1625"/>
      <c r="M70" s="1625"/>
      <c r="N70" s="1625"/>
      <c r="O70" s="1659"/>
      <c r="P70" s="1631"/>
    </row>
    <row r="71" spans="1:16">
      <c r="A71" s="1623"/>
      <c r="B71" s="1625"/>
      <c r="C71" s="1625"/>
      <c r="D71" s="1625"/>
      <c r="E71" s="1625"/>
      <c r="F71" s="1625"/>
      <c r="G71" s="1625"/>
      <c r="H71" s="1625"/>
      <c r="I71" s="1625"/>
      <c r="J71" s="1631"/>
      <c r="K71" s="1671"/>
      <c r="L71" s="1631"/>
      <c r="M71" s="1671"/>
      <c r="N71" s="1671"/>
      <c r="O71" s="1671"/>
      <c r="P71" s="1671"/>
    </row>
    <row r="72" spans="1:16">
      <c r="A72" s="1623"/>
      <c r="B72" s="1628" t="s">
        <v>757</v>
      </c>
      <c r="C72" s="1622" t="s">
        <v>2292</v>
      </c>
      <c r="D72" s="1625"/>
      <c r="E72" s="1625"/>
      <c r="F72" s="1625"/>
      <c r="G72" s="1625"/>
      <c r="H72" s="1625"/>
      <c r="I72" s="1672" t="s">
        <v>3587</v>
      </c>
      <c r="J72" s="1628" t="s">
        <v>2131</v>
      </c>
      <c r="K72" s="1673" t="s">
        <v>2318</v>
      </c>
      <c r="L72" s="1625"/>
      <c r="M72" s="1625"/>
      <c r="N72" s="1625"/>
      <c r="O72" s="1625"/>
      <c r="P72" s="1630"/>
    </row>
    <row r="73" spans="1:16">
      <c r="A73" s="1623"/>
      <c r="B73" s="1644"/>
      <c r="C73" s="1632" t="s">
        <v>2293</v>
      </c>
      <c r="D73" s="1625"/>
      <c r="E73" s="1625"/>
      <c r="F73" s="1625"/>
      <c r="G73" s="1625"/>
      <c r="H73" s="1674">
        <f>SUM(H74:H75)</f>
        <v>65</v>
      </c>
      <c r="I73" s="1674">
        <f>SUM(I74:I75)</f>
        <v>25</v>
      </c>
      <c r="J73" s="1623"/>
      <c r="K73" s="1632" t="s">
        <v>2791</v>
      </c>
      <c r="L73" s="1625"/>
      <c r="M73" s="1625"/>
      <c r="N73" s="1625"/>
      <c r="O73" s="1625"/>
      <c r="P73" s="1674">
        <f>'Part VI-Revenues &amp; Expenses'!$O$115</f>
        <v>87408</v>
      </c>
    </row>
    <row r="74" spans="1:16">
      <c r="A74" s="1623"/>
      <c r="B74" s="1632"/>
      <c r="C74" s="1625"/>
      <c r="D74" s="1656" t="s">
        <v>387</v>
      </c>
      <c r="E74" s="1625"/>
      <c r="F74" s="1625"/>
      <c r="G74" s="1625"/>
      <c r="H74" s="1674">
        <f>'Part VI-Revenues &amp; Expenses'!$O$57</f>
        <v>25</v>
      </c>
      <c r="I74" s="1674">
        <f>'Part VI-Revenues &amp; Expenses'!$O$65</f>
        <v>25</v>
      </c>
      <c r="J74" s="1625"/>
      <c r="K74" s="1632" t="s">
        <v>2792</v>
      </c>
      <c r="L74" s="1625"/>
      <c r="M74" s="1625"/>
      <c r="N74" s="1625"/>
      <c r="O74" s="1625"/>
      <c r="P74" s="1674">
        <f>'Part VI-Revenues &amp; Expenses'!$O$116</f>
        <v>0</v>
      </c>
    </row>
    <row r="75" spans="1:16">
      <c r="A75" s="1623"/>
      <c r="B75" s="1625"/>
      <c r="C75" s="1625"/>
      <c r="D75" s="1656" t="s">
        <v>1835</v>
      </c>
      <c r="E75" s="1656"/>
      <c r="F75" s="1625"/>
      <c r="G75" s="1625"/>
      <c r="H75" s="1674">
        <f>'Part VI-Revenues &amp; Expenses'!$O$56</f>
        <v>40</v>
      </c>
      <c r="I75" s="1674">
        <f>'Part VI-Revenues &amp; Expenses'!$O$64</f>
        <v>0</v>
      </c>
      <c r="J75" s="1625"/>
      <c r="K75" s="1632" t="s">
        <v>2793</v>
      </c>
      <c r="L75" s="1625"/>
      <c r="M75" s="1625"/>
      <c r="N75" s="1625"/>
      <c r="O75" s="1625"/>
      <c r="P75" s="1674">
        <f>P73+P74</f>
        <v>87408</v>
      </c>
    </row>
    <row r="76" spans="1:16">
      <c r="A76" s="1623"/>
      <c r="B76" s="1625"/>
      <c r="C76" s="1632" t="s">
        <v>255</v>
      </c>
      <c r="D76" s="1625"/>
      <c r="E76" s="1625"/>
      <c r="F76" s="1625"/>
      <c r="G76" s="1625"/>
      <c r="H76" s="1674">
        <f>'Part VI-Revenues &amp; Expenses'!$O$59</f>
        <v>0</v>
      </c>
      <c r="I76" s="1625"/>
      <c r="J76" s="1623"/>
      <c r="K76" s="1632" t="s">
        <v>2794</v>
      </c>
      <c r="L76" s="1625"/>
      <c r="M76" s="1625"/>
      <c r="N76" s="1625"/>
      <c r="O76" s="1625"/>
      <c r="P76" s="1674">
        <f>'Part VI-Revenues &amp; Expenses'!$O$118</f>
        <v>0</v>
      </c>
    </row>
    <row r="77" spans="1:16">
      <c r="A77" s="1623"/>
      <c r="B77" s="1625"/>
      <c r="C77" s="1632" t="s">
        <v>2423</v>
      </c>
      <c r="D77" s="1625"/>
      <c r="E77" s="1625"/>
      <c r="F77" s="1625"/>
      <c r="G77" s="1625"/>
      <c r="H77" s="1674">
        <f>H73+H76</f>
        <v>65</v>
      </c>
      <c r="I77" s="1625"/>
      <c r="J77" s="1623"/>
      <c r="K77" s="1632" t="s">
        <v>1432</v>
      </c>
      <c r="L77" s="1625"/>
      <c r="M77" s="1625"/>
      <c r="N77" s="1625"/>
      <c r="O77" s="1625"/>
      <c r="P77" s="1674">
        <f>+P75+P76</f>
        <v>87408</v>
      </c>
    </row>
    <row r="78" spans="1:16">
      <c r="A78" s="1623"/>
      <c r="B78" s="1625"/>
      <c r="C78" s="1632" t="s">
        <v>2424</v>
      </c>
      <c r="D78" s="1625"/>
      <c r="E78" s="1625"/>
      <c r="F78" s="1625"/>
      <c r="G78" s="1625"/>
      <c r="H78" s="1674">
        <f>'Part VI-Revenues &amp; Expenses'!$O$61</f>
        <v>0</v>
      </c>
      <c r="I78" s="1625"/>
      <c r="J78" s="1623"/>
      <c r="K78" s="1625"/>
      <c r="L78" s="1625"/>
      <c r="M78" s="1625"/>
      <c r="N78" s="1625"/>
      <c r="O78" s="1625"/>
      <c r="P78" s="1625"/>
    </row>
    <row r="79" spans="1:16">
      <c r="A79" s="1623"/>
      <c r="B79" s="1625"/>
      <c r="C79" s="1632" t="s">
        <v>1806</v>
      </c>
      <c r="D79" s="1625"/>
      <c r="E79" s="1625"/>
      <c r="F79" s="1625"/>
      <c r="G79" s="1625"/>
      <c r="H79" s="1674">
        <f>+H77+H78</f>
        <v>65</v>
      </c>
      <c r="I79" s="1625"/>
      <c r="J79" s="1625"/>
      <c r="K79" s="1625"/>
      <c r="L79" s="1625"/>
      <c r="M79" s="1625"/>
      <c r="N79" s="1625"/>
      <c r="O79" s="1625"/>
      <c r="P79" s="1625"/>
    </row>
    <row r="80" spans="1:16">
      <c r="A80" s="1623"/>
      <c r="B80" s="1625"/>
      <c r="C80" s="1625"/>
      <c r="D80" s="1625"/>
      <c r="E80" s="1625"/>
      <c r="F80" s="1625"/>
      <c r="G80" s="1625"/>
      <c r="H80" s="1625"/>
      <c r="I80" s="1630"/>
      <c r="J80" s="1625"/>
      <c r="K80" s="1625"/>
      <c r="L80" s="1630"/>
      <c r="M80" s="1630"/>
      <c r="N80" s="1625"/>
      <c r="O80" s="1625"/>
      <c r="P80" s="1647"/>
    </row>
    <row r="81" spans="1:16">
      <c r="A81" s="1623"/>
      <c r="B81" s="1623" t="s">
        <v>1748</v>
      </c>
      <c r="C81" s="1622" t="s">
        <v>2313</v>
      </c>
      <c r="D81" s="1656" t="s">
        <v>2012</v>
      </c>
      <c r="E81" s="1625"/>
      <c r="F81" s="1625"/>
      <c r="G81" s="1625"/>
      <c r="H81" s="1674">
        <f>'Part I-Project Information'!H70</f>
        <v>27</v>
      </c>
      <c r="I81" s="1625"/>
      <c r="J81" s="1625"/>
      <c r="K81" s="1632" t="s">
        <v>4100</v>
      </c>
      <c r="L81" s="1625"/>
      <c r="M81" s="1625"/>
      <c r="N81" s="1625"/>
      <c r="O81" s="1625"/>
      <c r="P81" s="1674">
        <f>'Part I-Project Information'!P70</f>
        <v>0</v>
      </c>
    </row>
    <row r="82" spans="1:16">
      <c r="A82" s="1623"/>
      <c r="B82" s="1623"/>
      <c r="C82" s="1625"/>
      <c r="D82" s="1644" t="s">
        <v>2013</v>
      </c>
      <c r="E82" s="1625"/>
      <c r="F82" s="1625"/>
      <c r="G82" s="1625"/>
      <c r="H82" s="1674">
        <f>'Part I-Project Information'!H71</f>
        <v>0</v>
      </c>
      <c r="I82" s="1625"/>
      <c r="J82" s="1625"/>
      <c r="K82" s="1632" t="s">
        <v>254</v>
      </c>
      <c r="L82" s="1625"/>
      <c r="M82" s="1625"/>
      <c r="N82" s="1625"/>
      <c r="O82" s="1625"/>
      <c r="P82" s="1674">
        <f>+P77+P81</f>
        <v>87408</v>
      </c>
    </row>
    <row r="83" spans="1:16">
      <c r="A83" s="1623"/>
      <c r="B83" s="1623"/>
      <c r="C83" s="1625"/>
      <c r="D83" s="1644" t="s">
        <v>2014</v>
      </c>
      <c r="E83" s="1625"/>
      <c r="F83" s="1625"/>
      <c r="G83" s="1625"/>
      <c r="H83" s="1674">
        <f>+H81+H82</f>
        <v>27</v>
      </c>
      <c r="I83" s="1625"/>
      <c r="J83" s="1625"/>
      <c r="K83" s="1625"/>
      <c r="L83" s="1625"/>
      <c r="M83" s="1625"/>
      <c r="N83" s="1625"/>
      <c r="O83" s="1625"/>
      <c r="P83" s="1625"/>
    </row>
    <row r="84" spans="1:16">
      <c r="A84" s="1623"/>
      <c r="B84" s="1623"/>
      <c r="C84" s="1625"/>
      <c r="D84" s="1625"/>
      <c r="E84" s="1625"/>
      <c r="F84" s="1625"/>
      <c r="G84" s="1630"/>
      <c r="H84" s="1625"/>
      <c r="I84" s="1632"/>
      <c r="J84" s="1625"/>
      <c r="K84" s="1625"/>
      <c r="L84" s="1625"/>
      <c r="M84" s="1625"/>
      <c r="N84" s="1625"/>
      <c r="O84" s="1625"/>
      <c r="P84" s="1647"/>
    </row>
    <row r="85" spans="1:16" ht="12.75" customHeight="1">
      <c r="A85" s="1623"/>
      <c r="B85" s="1623" t="s">
        <v>1749</v>
      </c>
      <c r="C85" s="1622" t="s">
        <v>2860</v>
      </c>
      <c r="D85" s="1625"/>
      <c r="E85" s="1625"/>
      <c r="F85" s="1625"/>
      <c r="G85" s="1625"/>
      <c r="H85" s="1674">
        <f>'Part I-Project Information'!H74</f>
        <v>102</v>
      </c>
      <c r="I85" s="1625"/>
      <c r="J85" s="1625"/>
      <c r="K85" s="1621" t="s">
        <v>3883</v>
      </c>
      <c r="L85" s="1621"/>
      <c r="M85" s="1621"/>
      <c r="N85" s="1621"/>
      <c r="O85" s="1621"/>
      <c r="P85" s="1621"/>
    </row>
    <row r="86" spans="1:16">
      <c r="A86" s="1623"/>
      <c r="B86" s="1623"/>
      <c r="C86" s="1632"/>
      <c r="D86" s="1625"/>
      <c r="E86" s="1625"/>
      <c r="F86" s="1625"/>
      <c r="G86" s="1630"/>
      <c r="H86" s="1625"/>
      <c r="I86" s="1632"/>
      <c r="J86" s="1632"/>
      <c r="K86" s="1621"/>
      <c r="L86" s="1621"/>
      <c r="M86" s="1621"/>
      <c r="N86" s="1621"/>
      <c r="O86" s="1621"/>
      <c r="P86" s="1621"/>
    </row>
    <row r="87" spans="1:16">
      <c r="A87" s="1623" t="s">
        <v>535</v>
      </c>
      <c r="B87" s="1675" t="s">
        <v>1202</v>
      </c>
      <c r="C87" s="1625"/>
      <c r="D87" s="1675"/>
      <c r="E87" s="1675"/>
      <c r="F87" s="1625"/>
      <c r="G87" s="1630"/>
      <c r="H87" s="1625"/>
      <c r="I87" s="1625"/>
      <c r="J87" s="1625"/>
      <c r="K87" s="1621"/>
      <c r="L87" s="1621"/>
      <c r="M87" s="1621"/>
      <c r="N87" s="1621"/>
      <c r="O87" s="1621"/>
      <c r="P87" s="1621"/>
    </row>
    <row r="88" spans="1:16">
      <c r="A88" s="1623"/>
      <c r="B88" s="1625"/>
      <c r="C88" s="1676"/>
      <c r="D88" s="1676"/>
      <c r="E88" s="1676"/>
      <c r="F88" s="1625"/>
      <c r="G88" s="1630"/>
      <c r="H88" s="1625"/>
      <c r="I88" s="1625"/>
      <c r="J88" s="1625"/>
      <c r="K88" s="1625"/>
      <c r="L88" s="1625"/>
      <c r="M88" s="1625"/>
      <c r="N88" s="1625"/>
      <c r="O88" s="1625"/>
      <c r="P88" s="1647"/>
    </row>
    <row r="89" spans="1:16">
      <c r="A89" s="1623"/>
      <c r="B89" s="1623" t="s">
        <v>1999</v>
      </c>
      <c r="C89" s="1626" t="s">
        <v>4746</v>
      </c>
      <c r="D89" s="1676"/>
      <c r="E89" s="1676"/>
      <c r="F89" s="1625"/>
      <c r="G89" s="1630"/>
      <c r="H89" s="1656" t="str">
        <f>'Part I-Project Information'!H78</f>
        <v>Family</v>
      </c>
      <c r="I89" s="1656">
        <f>'Part I-Project Information'!I78</f>
        <v>0</v>
      </c>
      <c r="J89" s="1625"/>
      <c r="K89" s="1625" t="s">
        <v>1785</v>
      </c>
      <c r="L89" s="1625"/>
      <c r="M89" s="1625">
        <f>'Part I-Project Information'!M78</f>
        <v>0</v>
      </c>
      <c r="N89" s="1625">
        <f>'Part I-Project Information'!N78</f>
        <v>0</v>
      </c>
      <c r="O89" s="1625">
        <f>'Part I-Project Information'!O78</f>
        <v>0</v>
      </c>
      <c r="P89" s="1625">
        <f>'Part I-Project Information'!P78</f>
        <v>0</v>
      </c>
    </row>
    <row r="90" spans="1:16">
      <c r="A90" s="1623"/>
      <c r="B90" s="1623"/>
      <c r="C90" s="1625"/>
      <c r="D90" s="1644"/>
      <c r="E90" s="1644"/>
      <c r="F90" s="1644"/>
      <c r="G90" s="1644"/>
      <c r="H90" s="1625"/>
      <c r="I90" s="1630"/>
      <c r="J90" s="1625"/>
      <c r="K90" s="1633"/>
      <c r="L90" s="1633"/>
      <c r="M90" s="1630"/>
      <c r="N90" s="1625"/>
      <c r="O90" s="1625"/>
      <c r="P90" s="1647"/>
    </row>
    <row r="91" spans="1:16" ht="12.75" customHeight="1">
      <c r="A91" s="1623"/>
      <c r="B91" s="1623"/>
      <c r="C91" s="1625"/>
      <c r="D91" s="1625"/>
      <c r="E91" s="1676"/>
      <c r="F91" s="1625"/>
      <c r="G91" s="1625"/>
      <c r="H91" s="1621" t="s">
        <v>3903</v>
      </c>
      <c r="I91" s="1621"/>
      <c r="J91" s="1625"/>
      <c r="K91" s="1677" t="s">
        <v>2931</v>
      </c>
      <c r="L91" s="1674">
        <f>'Part I-Project Information'!L80</f>
        <v>65</v>
      </c>
      <c r="M91" s="1677" t="s">
        <v>2932</v>
      </c>
      <c r="N91" s="1674">
        <f>'Part I-Project Information'!N80</f>
        <v>0</v>
      </c>
      <c r="O91" s="1625"/>
      <c r="P91" s="1636" t="s">
        <v>3905</v>
      </c>
    </row>
    <row r="92" spans="1:16">
      <c r="A92" s="1623"/>
      <c r="B92" s="1623"/>
      <c r="C92" s="1625"/>
      <c r="D92" s="1633"/>
      <c r="E92" s="1676"/>
      <c r="F92" s="1625"/>
      <c r="G92" s="1625"/>
      <c r="H92" s="1621"/>
      <c r="I92" s="1621"/>
      <c r="J92" s="1625"/>
      <c r="K92" s="1636" t="s">
        <v>2933</v>
      </c>
      <c r="L92" s="1674">
        <f>'Part I-Project Information'!L81</f>
        <v>0</v>
      </c>
      <c r="M92" s="1636" t="s">
        <v>3904</v>
      </c>
      <c r="N92" s="1674">
        <f>'Part I-Project Information'!N81</f>
        <v>0</v>
      </c>
      <c r="O92" s="1625"/>
      <c r="P92" s="1674">
        <f>'Part I-Project Information'!P81</f>
        <v>0</v>
      </c>
    </row>
    <row r="93" spans="1:16">
      <c r="A93" s="1623"/>
      <c r="B93" s="1623"/>
      <c r="C93" s="1625"/>
      <c r="D93" s="1644"/>
      <c r="E93" s="1644"/>
      <c r="F93" s="1644"/>
      <c r="G93" s="1644"/>
      <c r="H93" s="1625"/>
      <c r="I93" s="1630"/>
      <c r="J93" s="1625"/>
      <c r="K93" s="1633"/>
      <c r="L93" s="1633"/>
      <c r="M93" s="1630"/>
      <c r="N93" s="1625"/>
      <c r="O93" s="1625"/>
      <c r="P93" s="1647"/>
    </row>
    <row r="94" spans="1:16">
      <c r="A94" s="1623"/>
      <c r="B94" s="1623" t="s">
        <v>2001</v>
      </c>
      <c r="C94" s="1622" t="s">
        <v>1423</v>
      </c>
      <c r="D94" s="1625"/>
      <c r="E94" s="1656"/>
      <c r="F94" s="1644" t="s">
        <v>804</v>
      </c>
      <c r="G94" s="1625"/>
      <c r="H94" s="1674">
        <f>'Part VIII-Threshold Criteria'!K301</f>
        <v>4</v>
      </c>
      <c r="I94" s="1625"/>
      <c r="J94" s="1625"/>
      <c r="K94" s="1625" t="s">
        <v>525</v>
      </c>
      <c r="L94" s="1625"/>
      <c r="M94" s="1625"/>
      <c r="N94" s="1678">
        <f>IF('Part VI-Revenues &amp; Expenses'!$O$62=0,0,H94/'Part VI-Revenues &amp; Expenses'!$O$62)</f>
        <v>6.1538461538461542E-2</v>
      </c>
      <c r="O94" s="1636" t="s">
        <v>3722</v>
      </c>
      <c r="P94" s="1679">
        <f>'DCA Underwriting Assumptions'!$Q$136</f>
        <v>0.05</v>
      </c>
    </row>
    <row r="95" spans="1:16">
      <c r="A95" s="1623"/>
      <c r="B95" s="1623"/>
      <c r="C95" s="1625"/>
      <c r="D95" s="1644" t="s">
        <v>2858</v>
      </c>
      <c r="E95" s="1644"/>
      <c r="F95" s="1644" t="s">
        <v>804</v>
      </c>
      <c r="G95" s="1625"/>
      <c r="H95" s="1674">
        <f>'Part VIII-Threshold Criteria'!K302</f>
        <v>0</v>
      </c>
      <c r="I95" s="1625"/>
      <c r="J95" s="1625"/>
      <c r="K95" s="1625" t="s">
        <v>2859</v>
      </c>
      <c r="L95" s="1625"/>
      <c r="M95" s="1625"/>
      <c r="N95" s="1678">
        <f>IF(H94=0,0,H95/H94)</f>
        <v>0</v>
      </c>
      <c r="O95" s="1636" t="s">
        <v>3722</v>
      </c>
      <c r="P95" s="1679">
        <f>'DCA Underwriting Assumptions'!$Q$137</f>
        <v>0.4</v>
      </c>
    </row>
    <row r="96" spans="1:16">
      <c r="A96" s="1623"/>
      <c r="B96" s="1623"/>
      <c r="C96" s="1625"/>
      <c r="D96" s="1644"/>
      <c r="E96" s="1644"/>
      <c r="F96" s="1644"/>
      <c r="G96" s="1625"/>
      <c r="H96" s="1625"/>
      <c r="I96" s="1630"/>
      <c r="J96" s="1625"/>
      <c r="K96" s="1633"/>
      <c r="L96" s="1633"/>
      <c r="M96" s="1630"/>
      <c r="N96" s="1630"/>
      <c r="O96" s="1625"/>
      <c r="P96" s="1630"/>
    </row>
    <row r="97" spans="1:16">
      <c r="A97" s="1623"/>
      <c r="B97" s="1623" t="s">
        <v>757</v>
      </c>
      <c r="C97" s="1622" t="s">
        <v>1858</v>
      </c>
      <c r="D97" s="1656"/>
      <c r="E97" s="1656"/>
      <c r="F97" s="1644" t="s">
        <v>804</v>
      </c>
      <c r="G97" s="1625"/>
      <c r="H97" s="1674">
        <f>'Part VIII-Threshold Criteria'!K304</f>
        <v>0</v>
      </c>
      <c r="I97" s="1625"/>
      <c r="J97" s="1625"/>
      <c r="K97" s="1625" t="s">
        <v>525</v>
      </c>
      <c r="L97" s="1625"/>
      <c r="M97" s="1625"/>
      <c r="N97" s="1678">
        <f>IF('Part VI-Revenues &amp; Expenses'!$O$62=0,0,H97/'Part VI-Revenues &amp; Expenses'!$O$62)</f>
        <v>0</v>
      </c>
      <c r="O97" s="1636" t="s">
        <v>3722</v>
      </c>
      <c r="P97" s="1679">
        <f>'DCA Underwriting Assumptions'!$Q$138</f>
        <v>0.02</v>
      </c>
    </row>
    <row r="98" spans="1:16">
      <c r="A98" s="1623"/>
      <c r="B98" s="1623"/>
      <c r="C98" s="1625"/>
      <c r="D98" s="1644"/>
      <c r="E98" s="1644"/>
      <c r="F98" s="1644"/>
      <c r="G98" s="1644"/>
      <c r="H98" s="1625"/>
      <c r="I98" s="1630"/>
      <c r="J98" s="1630"/>
      <c r="K98" s="1630"/>
      <c r="L98" s="1630"/>
      <c r="M98" s="1630"/>
      <c r="N98" s="1625"/>
      <c r="O98" s="1625"/>
      <c r="P98" s="1647"/>
    </row>
    <row r="99" spans="1:16">
      <c r="A99" s="1673" t="s">
        <v>780</v>
      </c>
      <c r="B99" s="1676" t="s">
        <v>2393</v>
      </c>
      <c r="C99" s="1625"/>
      <c r="D99" s="1644"/>
      <c r="E99" s="1644"/>
      <c r="F99" s="1644"/>
      <c r="G99" s="1644"/>
      <c r="H99" s="1644"/>
      <c r="I99" s="1630"/>
      <c r="J99" s="1625"/>
      <c r="K99" s="1625"/>
      <c r="L99" s="1625"/>
      <c r="M99" s="1630"/>
      <c r="N99" s="1625"/>
      <c r="O99" s="1625"/>
      <c r="P99" s="1647"/>
    </row>
    <row r="100" spans="1:16">
      <c r="A100" s="1623"/>
      <c r="B100" s="1623"/>
      <c r="C100" s="1676"/>
      <c r="D100" s="1644"/>
      <c r="E100" s="1644"/>
      <c r="F100" s="1644"/>
      <c r="G100" s="1625"/>
      <c r="H100" s="1625"/>
      <c r="I100" s="1625"/>
      <c r="J100" s="1625"/>
      <c r="K100" s="1625"/>
      <c r="L100" s="1630"/>
      <c r="M100" s="1630"/>
      <c r="N100" s="1625"/>
      <c r="O100" s="1625"/>
      <c r="P100" s="1647"/>
    </row>
    <row r="101" spans="1:16">
      <c r="A101" s="1623"/>
      <c r="B101" s="1623" t="s">
        <v>1999</v>
      </c>
      <c r="C101" s="1626" t="s">
        <v>2392</v>
      </c>
      <c r="D101" s="1644"/>
      <c r="E101" s="1644"/>
      <c r="F101" s="1644"/>
      <c r="G101" s="1625"/>
      <c r="H101" s="1656" t="str">
        <f>'Part I-Project Information'!H90</f>
        <v>40% of Units at 60% of AMI</v>
      </c>
      <c r="I101" s="1656">
        <f>'Part I-Project Information'!I90</f>
        <v>0</v>
      </c>
      <c r="J101" s="1656">
        <f>'Part I-Project Information'!J90</f>
        <v>0</v>
      </c>
      <c r="K101" s="1625"/>
      <c r="L101" s="1625"/>
      <c r="M101" s="1630"/>
      <c r="N101" s="1630"/>
      <c r="O101" s="1625"/>
      <c r="P101" s="1647"/>
    </row>
    <row r="102" spans="1:16">
      <c r="A102" s="1623"/>
      <c r="B102" s="1623"/>
      <c r="C102" s="1625"/>
      <c r="D102" s="1644"/>
      <c r="E102" s="1644"/>
      <c r="F102" s="1644"/>
      <c r="G102" s="1644"/>
      <c r="H102" s="1625"/>
      <c r="I102" s="1630"/>
      <c r="J102" s="1630"/>
      <c r="K102" s="1630"/>
      <c r="L102" s="1630"/>
      <c r="M102" s="1630"/>
      <c r="N102" s="1625"/>
      <c r="O102" s="1625"/>
      <c r="P102" s="1647"/>
    </row>
    <row r="103" spans="1:16">
      <c r="A103" s="1625"/>
      <c r="B103" s="1623" t="s">
        <v>2001</v>
      </c>
      <c r="C103" s="1622" t="s">
        <v>1546</v>
      </c>
      <c r="D103" s="1625"/>
      <c r="E103" s="1625"/>
      <c r="F103" s="1625"/>
      <c r="G103" s="1625"/>
      <c r="H103" s="1625"/>
      <c r="I103" s="1625"/>
      <c r="J103" s="1625"/>
      <c r="K103" s="1633" t="s">
        <v>877</v>
      </c>
      <c r="L103" s="1625"/>
      <c r="M103" s="1625"/>
      <c r="N103" s="1680"/>
      <c r="O103" s="1625"/>
      <c r="P103" s="1630" t="str">
        <f>'Part I-Project Information'!P92</f>
        <v>No</v>
      </c>
    </row>
    <row r="104" spans="1:16">
      <c r="A104" s="1623"/>
      <c r="B104" s="1623"/>
      <c r="C104" s="1622"/>
      <c r="D104" s="1644"/>
      <c r="E104" s="1644"/>
      <c r="F104" s="1644"/>
      <c r="G104" s="1644"/>
      <c r="H104" s="1625"/>
      <c r="I104" s="1630"/>
      <c r="J104" s="1630"/>
      <c r="K104" s="1630"/>
      <c r="L104" s="1630"/>
      <c r="M104" s="1630"/>
      <c r="N104" s="1625"/>
      <c r="O104" s="1625"/>
      <c r="P104" s="1647"/>
    </row>
    <row r="105" spans="1:16">
      <c r="A105" s="1673" t="s">
        <v>294</v>
      </c>
      <c r="B105" s="1676" t="s">
        <v>2057</v>
      </c>
      <c r="C105" s="1625"/>
      <c r="D105" s="1644"/>
      <c r="E105" s="1625"/>
      <c r="F105" s="1625"/>
      <c r="G105" s="1625"/>
      <c r="H105" s="1625"/>
      <c r="I105" s="1625"/>
      <c r="J105" s="1625"/>
      <c r="K105" s="1625"/>
      <c r="L105" s="1625"/>
      <c r="M105" s="1625"/>
      <c r="N105" s="1625"/>
      <c r="O105" s="1625"/>
      <c r="P105" s="1625"/>
    </row>
    <row r="106" spans="1:16">
      <c r="A106" s="1623"/>
      <c r="B106" s="1623"/>
      <c r="C106" s="1625"/>
      <c r="D106" s="1644"/>
      <c r="E106" s="1625"/>
      <c r="F106" s="1625"/>
      <c r="G106" s="1625"/>
      <c r="H106" s="1625"/>
      <c r="I106" s="1625"/>
      <c r="J106" s="1625"/>
      <c r="K106" s="1625"/>
      <c r="L106" s="1625"/>
      <c r="M106" s="1625"/>
      <c r="N106" s="1625"/>
      <c r="O106" s="1625"/>
      <c r="P106" s="1647"/>
    </row>
    <row r="107" spans="1:16">
      <c r="A107" s="1673"/>
      <c r="B107" s="1623" t="s">
        <v>1999</v>
      </c>
      <c r="C107" s="1622" t="s">
        <v>2726</v>
      </c>
      <c r="D107" s="1625"/>
      <c r="E107" s="1625"/>
      <c r="F107" s="1656" t="s">
        <v>2617</v>
      </c>
      <c r="G107" s="1625"/>
      <c r="H107" s="1630" t="str">
        <f>'Part I-Project Information'!H96</f>
        <v>Yes</v>
      </c>
      <c r="I107" s="1625"/>
      <c r="J107" s="1625"/>
      <c r="K107" s="1656" t="s">
        <v>3928</v>
      </c>
      <c r="L107" s="1630" t="str">
        <f>'Part I-Project Information'!L96</f>
        <v>No</v>
      </c>
      <c r="M107" s="1625"/>
      <c r="N107" s="1625"/>
      <c r="O107" s="1636" t="s">
        <v>3922</v>
      </c>
      <c r="P107" s="1630" t="str">
        <f>'Part I-Project Information'!P96</f>
        <v>No</v>
      </c>
    </row>
    <row r="108" spans="1:16">
      <c r="A108" s="1623"/>
      <c r="B108" s="1623"/>
      <c r="C108" s="1676"/>
      <c r="D108" s="1625"/>
      <c r="E108" s="1625"/>
      <c r="F108" s="1644"/>
      <c r="G108" s="1625"/>
      <c r="H108" s="1644"/>
      <c r="I108" s="1625"/>
      <c r="J108" s="1630"/>
      <c r="K108" s="1630"/>
      <c r="L108" s="1630"/>
      <c r="M108" s="1630"/>
      <c r="N108" s="1630"/>
      <c r="O108" s="1625"/>
      <c r="P108" s="1647"/>
    </row>
    <row r="109" spans="1:16">
      <c r="A109" s="1673"/>
      <c r="B109" s="1623" t="s">
        <v>2001</v>
      </c>
      <c r="C109" s="1622" t="s">
        <v>2727</v>
      </c>
      <c r="D109" s="1625"/>
      <c r="E109" s="1625"/>
      <c r="F109" s="1633" t="s">
        <v>2696</v>
      </c>
      <c r="G109" s="1625"/>
      <c r="H109" s="1630" t="str">
        <f>'Part I-Project Information'!H98</f>
        <v>No</v>
      </c>
      <c r="I109" s="1681" t="s">
        <v>2728</v>
      </c>
      <c r="J109" s="1630"/>
      <c r="K109" s="1625"/>
      <c r="L109" s="1630"/>
      <c r="M109" s="1625"/>
      <c r="N109" s="1625"/>
      <c r="O109" s="1625"/>
      <c r="P109" s="1625"/>
    </row>
    <row r="110" spans="1:16">
      <c r="A110" s="1623"/>
      <c r="B110" s="1623"/>
      <c r="C110" s="1622"/>
      <c r="D110" s="1644"/>
      <c r="E110" s="1644"/>
      <c r="F110" s="1644"/>
      <c r="G110" s="1644"/>
      <c r="H110" s="1625"/>
      <c r="I110" s="1630"/>
      <c r="J110" s="1630"/>
      <c r="K110" s="1630"/>
      <c r="L110" s="1630"/>
      <c r="M110" s="1630"/>
      <c r="N110" s="1625"/>
      <c r="O110" s="1625"/>
      <c r="P110" s="1647"/>
    </row>
    <row r="111" spans="1:16">
      <c r="A111" s="1673" t="s">
        <v>428</v>
      </c>
      <c r="B111" s="1676" t="s">
        <v>2801</v>
      </c>
      <c r="C111" s="1625"/>
      <c r="D111" s="1644"/>
      <c r="E111" s="1625"/>
      <c r="F111" s="1625"/>
      <c r="G111" s="1625"/>
      <c r="H111" s="1625" t="str">
        <f>'Part I-Project Information'!H100</f>
        <v>Flexible</v>
      </c>
      <c r="I111" s="1625">
        <f>'Part I-Project Information'!I100</f>
        <v>0</v>
      </c>
      <c r="J111" s="1630"/>
      <c r="K111" s="1625"/>
      <c r="L111" s="1625"/>
      <c r="M111" s="1625"/>
      <c r="N111" s="1625"/>
      <c r="O111" s="1625"/>
      <c r="P111" s="1625"/>
    </row>
    <row r="112" spans="1:16">
      <c r="A112" s="1623"/>
      <c r="B112" s="1625"/>
      <c r="C112" s="1625"/>
      <c r="D112" s="1650"/>
      <c r="E112" s="1625"/>
      <c r="F112" s="1625"/>
      <c r="G112" s="1625"/>
      <c r="H112" s="1625"/>
      <c r="I112" s="1650"/>
      <c r="J112" s="1632"/>
      <c r="K112" s="1625"/>
      <c r="L112" s="1625"/>
      <c r="M112" s="1625"/>
      <c r="N112" s="1625"/>
      <c r="O112" s="1625"/>
      <c r="P112" s="1647"/>
    </row>
    <row r="113" spans="1:16">
      <c r="A113" s="1673" t="s">
        <v>364</v>
      </c>
      <c r="B113" s="1673" t="s">
        <v>1200</v>
      </c>
      <c r="C113" s="1625"/>
      <c r="D113" s="1625"/>
      <c r="E113" s="1625"/>
      <c r="F113" s="1625"/>
      <c r="G113" s="1625"/>
      <c r="H113" s="1625"/>
      <c r="I113" s="1650"/>
      <c r="J113" s="1632"/>
      <c r="K113" s="1625"/>
      <c r="L113" s="1625"/>
      <c r="M113" s="1625"/>
      <c r="N113" s="1625"/>
      <c r="O113" s="1625"/>
      <c r="P113" s="1647"/>
    </row>
    <row r="114" spans="1:16">
      <c r="A114" s="1673"/>
      <c r="B114" s="1623"/>
      <c r="C114" s="1673"/>
      <c r="D114" s="1625"/>
      <c r="E114" s="1625"/>
      <c r="F114" s="1625"/>
      <c r="G114" s="1625"/>
      <c r="H114" s="1625"/>
      <c r="I114" s="1650"/>
      <c r="J114" s="1632"/>
      <c r="K114" s="1625"/>
      <c r="L114" s="1625"/>
      <c r="M114" s="1625"/>
      <c r="N114" s="1625"/>
      <c r="O114" s="1625"/>
      <c r="P114" s="1625"/>
    </row>
    <row r="115" spans="1:16">
      <c r="A115" s="1623"/>
      <c r="B115" s="1623"/>
      <c r="C115" s="1632" t="s">
        <v>557</v>
      </c>
      <c r="D115" s="1625"/>
      <c r="E115" s="1625">
        <f>'Part I-Project Information'!E104</f>
        <v>0</v>
      </c>
      <c r="F115" s="1625">
        <f>'Part I-Project Information'!F104</f>
        <v>0</v>
      </c>
      <c r="G115" s="1625">
        <f>'Part I-Project Information'!G104</f>
        <v>0</v>
      </c>
      <c r="H115" s="1625">
        <f>'Part I-Project Information'!H104</f>
        <v>0</v>
      </c>
      <c r="I115" s="1625">
        <f>'Part I-Project Information'!I104</f>
        <v>0</v>
      </c>
      <c r="J115" s="1625">
        <f>'Part I-Project Information'!J104</f>
        <v>0</v>
      </c>
      <c r="K115" s="1625">
        <f>'Part I-Project Information'!K104</f>
        <v>0</v>
      </c>
      <c r="L115" s="1625">
        <f>'Part I-Project Information'!L104</f>
        <v>0</v>
      </c>
      <c r="M115" s="1656" t="s">
        <v>558</v>
      </c>
      <c r="N115" s="1656"/>
      <c r="O115" s="1682">
        <f>'Part I-Project Information'!O104</f>
        <v>0</v>
      </c>
      <c r="P115" s="1682">
        <f>'Part I-Project Information'!P104</f>
        <v>0</v>
      </c>
    </row>
    <row r="116" spans="1:16">
      <c r="A116" s="1625"/>
      <c r="B116" s="1625"/>
      <c r="C116" s="1633" t="s">
        <v>1031</v>
      </c>
      <c r="D116" s="1636"/>
      <c r="E116" s="1625">
        <f>'Part I-Project Information'!E105</f>
        <v>0</v>
      </c>
      <c r="F116" s="1625">
        <f>'Part I-Project Information'!F105</f>
        <v>0</v>
      </c>
      <c r="G116" s="1625">
        <f>'Part I-Project Information'!G105</f>
        <v>0</v>
      </c>
      <c r="H116" s="1625">
        <f>'Part I-Project Information'!H105</f>
        <v>0</v>
      </c>
      <c r="I116" s="1625">
        <f>'Part I-Project Information'!I105</f>
        <v>0</v>
      </c>
      <c r="J116" s="1625">
        <f>'Part I-Project Information'!J105</f>
        <v>0</v>
      </c>
      <c r="K116" s="1625">
        <f>'Part I-Project Information'!K105</f>
        <v>0</v>
      </c>
      <c r="L116" s="1625">
        <f>'Part I-Project Information'!L105</f>
        <v>0</v>
      </c>
      <c r="M116" s="1656" t="s">
        <v>816</v>
      </c>
      <c r="N116" s="1656"/>
      <c r="O116" s="1641">
        <f>'Part I-Project Information'!O105</f>
        <v>0</v>
      </c>
      <c r="P116" s="1641">
        <f>'Part I-Project Information'!P105</f>
        <v>0</v>
      </c>
    </row>
    <row r="117" spans="1:16">
      <c r="A117" s="1625"/>
      <c r="B117" s="1625"/>
      <c r="C117" s="1633" t="s">
        <v>624</v>
      </c>
      <c r="D117" s="1625"/>
      <c r="E117" s="1625">
        <f>'Part I-Project Information'!E106</f>
        <v>0</v>
      </c>
      <c r="F117" s="1656">
        <f>'Part I-Project Information'!F106</f>
        <v>0</v>
      </c>
      <c r="G117" s="1656">
        <f>'Part I-Project Information'!G106</f>
        <v>0</v>
      </c>
      <c r="H117" s="1630" t="s">
        <v>1812</v>
      </c>
      <c r="I117" s="1630">
        <f>'Part I-Project Information'!I106</f>
        <v>0</v>
      </c>
      <c r="J117" s="1630" t="s">
        <v>2245</v>
      </c>
      <c r="K117" s="1645"/>
      <c r="L117" s="1656"/>
      <c r="M117" s="1632" t="s">
        <v>3690</v>
      </c>
      <c r="N117" s="1632"/>
      <c r="O117" s="1683">
        <f>'Part I-Project Information'!O106</f>
        <v>0</v>
      </c>
      <c r="P117" s="1683">
        <f>'Part I-Project Information'!P106</f>
        <v>0</v>
      </c>
    </row>
    <row r="118" spans="1:16">
      <c r="A118" s="1625"/>
      <c r="B118" s="1625"/>
      <c r="C118" s="1625" t="s">
        <v>2210</v>
      </c>
      <c r="D118" s="1625"/>
      <c r="E118" s="1625">
        <f>'Part I-Project Information'!E107</f>
        <v>0</v>
      </c>
      <c r="F118" s="1656">
        <f>'Part I-Project Information'!F107</f>
        <v>0</v>
      </c>
      <c r="G118" s="1656">
        <f>'Part I-Project Information'!G107</f>
        <v>0</v>
      </c>
      <c r="H118" s="1630" t="s">
        <v>1996</v>
      </c>
      <c r="I118" s="1625">
        <f>'Part I-Project Information'!I107</f>
        <v>0</v>
      </c>
      <c r="J118" s="1656">
        <f>'Part I-Project Information'!J107</f>
        <v>0</v>
      </c>
      <c r="K118" s="1656">
        <f>'Part I-Project Information'!K107</f>
        <v>0</v>
      </c>
      <c r="L118" s="1630" t="s">
        <v>2000</v>
      </c>
      <c r="M118" s="1625">
        <f>'Part I-Project Information'!M107</f>
        <v>0</v>
      </c>
      <c r="N118" s="1656">
        <f>'Part I-Project Information'!N107</f>
        <v>0</v>
      </c>
      <c r="O118" s="1656">
        <f>'Part I-Project Information'!O107</f>
        <v>0</v>
      </c>
      <c r="P118" s="1656">
        <f>'Part I-Project Information'!P107</f>
        <v>0</v>
      </c>
    </row>
    <row r="119" spans="1:16">
      <c r="A119" s="1625"/>
      <c r="B119" s="1625"/>
      <c r="C119" s="1633" t="s">
        <v>2209</v>
      </c>
      <c r="D119" s="1625"/>
      <c r="E119" s="1646">
        <f>'Part I-Project Information'!E108</f>
        <v>0</v>
      </c>
      <c r="F119" s="1646">
        <f>'Part I-Project Information'!F108</f>
        <v>0</v>
      </c>
      <c r="G119" s="1646">
        <f>'Part I-Project Information'!G108</f>
        <v>0</v>
      </c>
      <c r="H119" s="1630" t="s">
        <v>1815</v>
      </c>
      <c r="I119" s="1646">
        <f>'Part I-Project Information'!I108</f>
        <v>0</v>
      </c>
      <c r="J119" s="1656">
        <f>'Part I-Project Information'!J108</f>
        <v>0</v>
      </c>
      <c r="K119" s="1630" t="s">
        <v>2722</v>
      </c>
      <c r="L119" s="1641">
        <f>'Part I-Project Information'!L108</f>
        <v>0</v>
      </c>
      <c r="M119" s="1641">
        <f>'Part I-Project Information'!M108</f>
        <v>0</v>
      </c>
      <c r="N119" s="1641">
        <f>'Part I-Project Information'!N108</f>
        <v>0</v>
      </c>
      <c r="O119" s="1641">
        <f>'Part I-Project Information'!O108</f>
        <v>0</v>
      </c>
      <c r="P119" s="1641">
        <f>'Part I-Project Information'!P108</f>
        <v>0</v>
      </c>
    </row>
    <row r="120" spans="1:16">
      <c r="A120" s="1623"/>
      <c r="B120" s="1623"/>
      <c r="C120" s="1625"/>
      <c r="D120" s="1625"/>
      <c r="E120" s="1625"/>
      <c r="F120" s="1625"/>
      <c r="G120" s="1650"/>
      <c r="H120" s="1630"/>
      <c r="I120" s="1630"/>
      <c r="J120" s="1625"/>
      <c r="K120" s="1625"/>
      <c r="L120" s="1625"/>
      <c r="M120" s="1647"/>
      <c r="N120" s="1625"/>
      <c r="O120" s="1625"/>
      <c r="P120" s="1625"/>
    </row>
    <row r="121" spans="1:16">
      <c r="A121" s="1673" t="s">
        <v>365</v>
      </c>
      <c r="B121" s="1676" t="s">
        <v>1682</v>
      </c>
      <c r="C121" s="1625"/>
      <c r="D121" s="1650"/>
      <c r="E121" s="1650"/>
      <c r="F121" s="1630"/>
      <c r="G121" s="1630"/>
      <c r="H121" s="1630"/>
      <c r="I121" s="1625"/>
      <c r="J121" s="1625"/>
      <c r="K121" s="1625"/>
      <c r="L121" s="1625"/>
      <c r="M121" s="1625"/>
      <c r="N121" s="1625"/>
      <c r="O121" s="1625"/>
      <c r="P121" s="1647"/>
    </row>
    <row r="122" spans="1:16">
      <c r="A122" s="1673"/>
      <c r="B122" s="1676"/>
      <c r="C122" s="1625"/>
      <c r="D122" s="1650"/>
      <c r="E122" s="1650"/>
      <c r="F122" s="1630"/>
      <c r="G122" s="1630"/>
      <c r="H122" s="1630"/>
      <c r="I122" s="1630"/>
      <c r="J122" s="1650"/>
      <c r="K122" s="1630"/>
      <c r="L122" s="1630"/>
      <c r="M122" s="1625"/>
      <c r="N122" s="1625"/>
      <c r="O122" s="1625"/>
      <c r="P122" s="1647"/>
    </row>
    <row r="123" spans="1:16">
      <c r="A123" s="1625"/>
      <c r="B123" s="1656" t="s">
        <v>2169</v>
      </c>
      <c r="C123" s="1625"/>
      <c r="D123" s="1639"/>
      <c r="E123" s="1639"/>
      <c r="F123" s="1639"/>
      <c r="G123" s="1639"/>
      <c r="H123" s="1639"/>
      <c r="I123" s="1639"/>
      <c r="J123" s="1639"/>
      <c r="K123" s="1639"/>
      <c r="L123" s="1639"/>
      <c r="M123" s="1639"/>
      <c r="N123" s="1639"/>
      <c r="O123" s="1639"/>
      <c r="P123" s="1639"/>
    </row>
    <row r="124" spans="1:16">
      <c r="A124" s="1623"/>
      <c r="B124" s="1623"/>
      <c r="C124" s="1684"/>
      <c r="D124" s="1684"/>
      <c r="E124" s="1684"/>
      <c r="F124" s="1684"/>
      <c r="G124" s="1684"/>
      <c r="H124" s="1684"/>
      <c r="I124" s="1684"/>
      <c r="J124" s="1684"/>
      <c r="K124" s="1684"/>
      <c r="L124" s="1684"/>
      <c r="M124" s="1684"/>
      <c r="N124" s="1684"/>
      <c r="O124" s="1684"/>
      <c r="P124" s="1684"/>
    </row>
    <row r="125" spans="1:16">
      <c r="A125" s="1623"/>
      <c r="B125" s="1623" t="s">
        <v>1999</v>
      </c>
      <c r="C125" s="1676" t="s">
        <v>1424</v>
      </c>
      <c r="D125" s="1644"/>
      <c r="E125" s="1644"/>
      <c r="F125" s="1630"/>
      <c r="G125" s="1630"/>
      <c r="H125" s="1650">
        <f>'Part I-Project Information'!H114</f>
        <v>1</v>
      </c>
      <c r="I125" s="1625"/>
      <c r="J125" s="1625"/>
      <c r="K125" s="1625"/>
      <c r="L125" s="1625"/>
      <c r="M125" s="1625"/>
      <c r="N125" s="1625"/>
      <c r="O125" s="1625"/>
      <c r="P125" s="1625"/>
    </row>
    <row r="126" spans="1:16">
      <c r="A126" s="1623"/>
      <c r="B126" s="1623"/>
      <c r="C126" s="1684"/>
      <c r="D126" s="1684"/>
      <c r="E126" s="1684"/>
      <c r="F126" s="1684"/>
      <c r="G126" s="1684"/>
      <c r="H126" s="1684"/>
      <c r="I126" s="1625"/>
      <c r="J126" s="1684"/>
      <c r="K126" s="1625"/>
      <c r="L126" s="1625"/>
      <c r="M126" s="1684"/>
      <c r="N126" s="1684"/>
      <c r="O126" s="1684"/>
      <c r="P126" s="1625"/>
    </row>
    <row r="127" spans="1:16">
      <c r="A127" s="1623"/>
      <c r="B127" s="1623" t="s">
        <v>2001</v>
      </c>
      <c r="C127" s="1676" t="s">
        <v>418</v>
      </c>
      <c r="D127" s="1644"/>
      <c r="E127" s="1644"/>
      <c r="F127" s="1630"/>
      <c r="G127" s="1630"/>
      <c r="H127" s="1685">
        <f>'Part I-Project Information'!H116</f>
        <v>874237</v>
      </c>
      <c r="I127" s="1625"/>
      <c r="J127" s="1650"/>
      <c r="K127" s="1633"/>
      <c r="L127" s="1625"/>
      <c r="M127" s="1625"/>
      <c r="N127" s="1625"/>
      <c r="O127" s="1625"/>
      <c r="P127" s="1625"/>
    </row>
    <row r="128" spans="1:16">
      <c r="A128" s="1623"/>
      <c r="B128" s="1623"/>
      <c r="C128" s="1684"/>
      <c r="D128" s="1684"/>
      <c r="E128" s="1684"/>
      <c r="F128" s="1684"/>
      <c r="G128" s="1684"/>
      <c r="H128" s="1684"/>
      <c r="I128" s="1684"/>
      <c r="J128" s="1684"/>
      <c r="K128" s="1684"/>
      <c r="L128" s="1625"/>
      <c r="M128" s="1684"/>
      <c r="N128" s="1684"/>
      <c r="O128" s="1684"/>
      <c r="P128" s="1684"/>
    </row>
    <row r="129" spans="1:16">
      <c r="A129" s="1625"/>
      <c r="B129" s="1623" t="s">
        <v>757</v>
      </c>
      <c r="C129" s="1676" t="s">
        <v>304</v>
      </c>
      <c r="D129" s="1644"/>
      <c r="E129" s="1644"/>
      <c r="F129" s="1630"/>
      <c r="G129" s="1630"/>
      <c r="H129" s="1630"/>
      <c r="I129" s="1630"/>
      <c r="J129" s="1650"/>
      <c r="K129" s="1630"/>
      <c r="L129" s="1630"/>
      <c r="M129" s="1625"/>
      <c r="N129" s="1625"/>
      <c r="O129" s="1625"/>
      <c r="P129" s="1625"/>
    </row>
    <row r="130" spans="1:16">
      <c r="A130" s="1625"/>
      <c r="B130" s="1623"/>
      <c r="C130" s="1644" t="s">
        <v>2151</v>
      </c>
      <c r="D130" s="1644"/>
      <c r="E130" s="1625"/>
      <c r="F130" s="1644" t="s">
        <v>1144</v>
      </c>
      <c r="G130" s="1630"/>
      <c r="H130" s="1630"/>
      <c r="I130" s="1630" t="s">
        <v>1306</v>
      </c>
      <c r="J130" s="1644" t="s">
        <v>2151</v>
      </c>
      <c r="K130" s="1644"/>
      <c r="L130" s="1625"/>
      <c r="M130" s="1644" t="s">
        <v>1144</v>
      </c>
      <c r="N130" s="1630"/>
      <c r="O130" s="1630"/>
      <c r="P130" s="1630" t="s">
        <v>1306</v>
      </c>
    </row>
    <row r="131" spans="1:16" ht="13.5">
      <c r="A131" s="1623"/>
      <c r="B131" s="1623"/>
      <c r="C131" s="1637" t="str">
        <f>'Part I-Project Information'!C120</f>
        <v>In-Fill Housing II, Inc.</v>
      </c>
      <c r="D131" s="1637">
        <f>'Part I-Project Information'!D120</f>
        <v>0</v>
      </c>
      <c r="E131" s="1637">
        <f>'Part I-Project Information'!E120</f>
        <v>0</v>
      </c>
      <c r="F131" s="1637" t="str">
        <f>'Part I-Project Information'!F120</f>
        <v>Tindall Fields III</v>
      </c>
      <c r="G131" s="1637">
        <f>'Part I-Project Information'!G120</f>
        <v>0</v>
      </c>
      <c r="H131" s="1637">
        <f>'Part I-Project Information'!H120</f>
        <v>0</v>
      </c>
      <c r="I131" s="1637" t="str">
        <f>'Part I-Project Information'!I120</f>
        <v>Direct</v>
      </c>
      <c r="J131" s="1637">
        <f>'Part I-Project Information'!J120</f>
        <v>7</v>
      </c>
      <c r="K131" s="1637">
        <f>'Part I-Project Information'!K120</f>
        <v>0</v>
      </c>
      <c r="L131" s="1637">
        <f>'Part I-Project Information'!L120</f>
        <v>0</v>
      </c>
      <c r="M131" s="1637">
        <f>'Part I-Project Information'!M120</f>
        <v>0</v>
      </c>
      <c r="N131" s="1637">
        <f>'Part I-Project Information'!N120</f>
        <v>0</v>
      </c>
      <c r="O131" s="1637">
        <f>'Part I-Project Information'!O120</f>
        <v>0</v>
      </c>
      <c r="P131" s="1637">
        <f>'Part I-Project Information'!P120</f>
        <v>0</v>
      </c>
    </row>
    <row r="132" spans="1:16" ht="13.5">
      <c r="A132" s="1623"/>
      <c r="B132" s="1623"/>
      <c r="C132" s="1637">
        <f>'Part I-Project Information'!C121</f>
        <v>2</v>
      </c>
      <c r="D132" s="1637">
        <f>'Part I-Project Information'!D121</f>
        <v>0</v>
      </c>
      <c r="E132" s="1637">
        <f>'Part I-Project Information'!E121</f>
        <v>0</v>
      </c>
      <c r="F132" s="1637">
        <f>'Part I-Project Information'!F121</f>
        <v>0</v>
      </c>
      <c r="G132" s="1637">
        <f>'Part I-Project Information'!G121</f>
        <v>0</v>
      </c>
      <c r="H132" s="1637">
        <f>'Part I-Project Information'!H121</f>
        <v>0</v>
      </c>
      <c r="I132" s="1637">
        <f>'Part I-Project Information'!I121</f>
        <v>0</v>
      </c>
      <c r="J132" s="1637">
        <f>'Part I-Project Information'!J121</f>
        <v>8</v>
      </c>
      <c r="K132" s="1637">
        <f>'Part I-Project Information'!K121</f>
        <v>0</v>
      </c>
      <c r="L132" s="1637">
        <f>'Part I-Project Information'!L121</f>
        <v>0</v>
      </c>
      <c r="M132" s="1637">
        <f>'Part I-Project Information'!M121</f>
        <v>0</v>
      </c>
      <c r="N132" s="1637">
        <f>'Part I-Project Information'!N121</f>
        <v>0</v>
      </c>
      <c r="O132" s="1637">
        <f>'Part I-Project Information'!O121</f>
        <v>0</v>
      </c>
      <c r="P132" s="1637">
        <f>'Part I-Project Information'!P121</f>
        <v>0</v>
      </c>
    </row>
    <row r="133" spans="1:16" ht="13.5">
      <c r="A133" s="1623"/>
      <c r="B133" s="1623"/>
      <c r="C133" s="1637">
        <f>'Part I-Project Information'!C122</f>
        <v>3</v>
      </c>
      <c r="D133" s="1637">
        <f>'Part I-Project Information'!D122</f>
        <v>0</v>
      </c>
      <c r="E133" s="1637">
        <f>'Part I-Project Information'!E122</f>
        <v>0</v>
      </c>
      <c r="F133" s="1637">
        <f>'Part I-Project Information'!F122</f>
        <v>0</v>
      </c>
      <c r="G133" s="1637">
        <f>'Part I-Project Information'!G122</f>
        <v>0</v>
      </c>
      <c r="H133" s="1637">
        <f>'Part I-Project Information'!H122</f>
        <v>0</v>
      </c>
      <c r="I133" s="1637">
        <f>'Part I-Project Information'!I122</f>
        <v>0</v>
      </c>
      <c r="J133" s="1637">
        <f>'Part I-Project Information'!J122</f>
        <v>9</v>
      </c>
      <c r="K133" s="1637">
        <f>'Part I-Project Information'!K122</f>
        <v>0</v>
      </c>
      <c r="L133" s="1637">
        <f>'Part I-Project Information'!L122</f>
        <v>0</v>
      </c>
      <c r="M133" s="1637">
        <f>'Part I-Project Information'!M122</f>
        <v>0</v>
      </c>
      <c r="N133" s="1637">
        <f>'Part I-Project Information'!N122</f>
        <v>0</v>
      </c>
      <c r="O133" s="1637">
        <f>'Part I-Project Information'!O122</f>
        <v>0</v>
      </c>
      <c r="P133" s="1637">
        <f>'Part I-Project Information'!P122</f>
        <v>0</v>
      </c>
    </row>
    <row r="134" spans="1:16" ht="13.5">
      <c r="A134" s="1623"/>
      <c r="B134" s="1623"/>
      <c r="C134" s="1637">
        <f>'Part I-Project Information'!C123</f>
        <v>4</v>
      </c>
      <c r="D134" s="1637">
        <f>'Part I-Project Information'!D123</f>
        <v>0</v>
      </c>
      <c r="E134" s="1637">
        <f>'Part I-Project Information'!E123</f>
        <v>0</v>
      </c>
      <c r="F134" s="1637">
        <f>'Part I-Project Information'!F123</f>
        <v>0</v>
      </c>
      <c r="G134" s="1637">
        <f>'Part I-Project Information'!G123</f>
        <v>0</v>
      </c>
      <c r="H134" s="1637">
        <f>'Part I-Project Information'!H123</f>
        <v>0</v>
      </c>
      <c r="I134" s="1637">
        <f>'Part I-Project Information'!I123</f>
        <v>0</v>
      </c>
      <c r="J134" s="1637">
        <f>'Part I-Project Information'!J123</f>
        <v>10</v>
      </c>
      <c r="K134" s="1637">
        <f>'Part I-Project Information'!K123</f>
        <v>0</v>
      </c>
      <c r="L134" s="1637">
        <f>'Part I-Project Information'!L123</f>
        <v>0</v>
      </c>
      <c r="M134" s="1637">
        <f>'Part I-Project Information'!M123</f>
        <v>0</v>
      </c>
      <c r="N134" s="1637">
        <f>'Part I-Project Information'!N123</f>
        <v>0</v>
      </c>
      <c r="O134" s="1637">
        <f>'Part I-Project Information'!O123</f>
        <v>0</v>
      </c>
      <c r="P134" s="1637">
        <f>'Part I-Project Information'!P123</f>
        <v>0</v>
      </c>
    </row>
    <row r="135" spans="1:16" ht="13.5">
      <c r="A135" s="1623"/>
      <c r="B135" s="1623"/>
      <c r="C135" s="1637">
        <f>'Part I-Project Information'!C124</f>
        <v>5</v>
      </c>
      <c r="D135" s="1637">
        <f>'Part I-Project Information'!D124</f>
        <v>0</v>
      </c>
      <c r="E135" s="1637">
        <f>'Part I-Project Information'!E124</f>
        <v>0</v>
      </c>
      <c r="F135" s="1637">
        <f>'Part I-Project Information'!F124</f>
        <v>0</v>
      </c>
      <c r="G135" s="1637">
        <f>'Part I-Project Information'!G124</f>
        <v>0</v>
      </c>
      <c r="H135" s="1637">
        <f>'Part I-Project Information'!H124</f>
        <v>0</v>
      </c>
      <c r="I135" s="1637">
        <f>'Part I-Project Information'!I124</f>
        <v>0</v>
      </c>
      <c r="J135" s="1637">
        <f>'Part I-Project Information'!J124</f>
        <v>11</v>
      </c>
      <c r="K135" s="1637">
        <f>'Part I-Project Information'!K124</f>
        <v>0</v>
      </c>
      <c r="L135" s="1637">
        <f>'Part I-Project Information'!L124</f>
        <v>0</v>
      </c>
      <c r="M135" s="1637">
        <f>'Part I-Project Information'!M124</f>
        <v>0</v>
      </c>
      <c r="N135" s="1637">
        <f>'Part I-Project Information'!N124</f>
        <v>0</v>
      </c>
      <c r="O135" s="1637">
        <f>'Part I-Project Information'!O124</f>
        <v>0</v>
      </c>
      <c r="P135" s="1637">
        <f>'Part I-Project Information'!P124</f>
        <v>0</v>
      </c>
    </row>
    <row r="136" spans="1:16" ht="13.5">
      <c r="A136" s="1623"/>
      <c r="B136" s="1623"/>
      <c r="C136" s="1637">
        <f>'Part I-Project Information'!C125</f>
        <v>6</v>
      </c>
      <c r="D136" s="1637">
        <f>'Part I-Project Information'!D125</f>
        <v>0</v>
      </c>
      <c r="E136" s="1637">
        <f>'Part I-Project Information'!E125</f>
        <v>0</v>
      </c>
      <c r="F136" s="1637">
        <f>'Part I-Project Information'!F125</f>
        <v>0</v>
      </c>
      <c r="G136" s="1637">
        <f>'Part I-Project Information'!G125</f>
        <v>0</v>
      </c>
      <c r="H136" s="1637">
        <f>'Part I-Project Information'!H125</f>
        <v>0</v>
      </c>
      <c r="I136" s="1637">
        <f>'Part I-Project Information'!I125</f>
        <v>0</v>
      </c>
      <c r="J136" s="1637">
        <f>'Part I-Project Information'!J125</f>
        <v>12</v>
      </c>
      <c r="K136" s="1637">
        <f>'Part I-Project Information'!K125</f>
        <v>0</v>
      </c>
      <c r="L136" s="1637">
        <f>'Part I-Project Information'!L125</f>
        <v>0</v>
      </c>
      <c r="M136" s="1637">
        <f>'Part I-Project Information'!M125</f>
        <v>0</v>
      </c>
      <c r="N136" s="1637">
        <f>'Part I-Project Information'!N125</f>
        <v>0</v>
      </c>
      <c r="O136" s="1637">
        <f>'Part I-Project Information'!O125</f>
        <v>0</v>
      </c>
      <c r="P136" s="1637">
        <f>'Part I-Project Information'!P125</f>
        <v>0</v>
      </c>
    </row>
    <row r="137" spans="1:16">
      <c r="A137" s="1623"/>
      <c r="B137" s="1623"/>
      <c r="C137" s="1684"/>
      <c r="D137" s="1684"/>
      <c r="E137" s="1684"/>
      <c r="F137" s="1684"/>
      <c r="G137" s="1684"/>
      <c r="H137" s="1684"/>
      <c r="I137" s="1684"/>
      <c r="J137" s="1684"/>
      <c r="K137" s="1684"/>
      <c r="L137" s="1684"/>
      <c r="M137" s="1684"/>
      <c r="N137" s="1684"/>
      <c r="O137" s="1684"/>
      <c r="P137" s="1684"/>
    </row>
    <row r="138" spans="1:16" ht="12.75" customHeight="1">
      <c r="A138" s="1623"/>
      <c r="B138" s="1623" t="s">
        <v>2131</v>
      </c>
      <c r="C138" s="1686" t="s">
        <v>1861</v>
      </c>
      <c r="D138" s="1686"/>
      <c r="E138" s="1686"/>
      <c r="F138" s="1686"/>
      <c r="G138" s="1686"/>
      <c r="H138" s="1686"/>
      <c r="I138" s="1686"/>
      <c r="J138" s="1686"/>
      <c r="K138" s="1686"/>
      <c r="L138" s="1686"/>
      <c r="M138" s="1686"/>
      <c r="N138" s="1686"/>
      <c r="O138" s="1686"/>
      <c r="P138" s="1686"/>
    </row>
    <row r="139" spans="1:16">
      <c r="A139" s="1623"/>
      <c r="B139" s="1623"/>
      <c r="C139" s="1686"/>
      <c r="D139" s="1686"/>
      <c r="E139" s="1686"/>
      <c r="F139" s="1686"/>
      <c r="G139" s="1686"/>
      <c r="H139" s="1686"/>
      <c r="I139" s="1686"/>
      <c r="J139" s="1686"/>
      <c r="K139" s="1686"/>
      <c r="L139" s="1686"/>
      <c r="M139" s="1686"/>
      <c r="N139" s="1686"/>
      <c r="O139" s="1686"/>
      <c r="P139" s="1686"/>
    </row>
    <row r="140" spans="1:16">
      <c r="A140" s="1625"/>
      <c r="B140" s="1623"/>
      <c r="C140" s="1644" t="s">
        <v>2151</v>
      </c>
      <c r="D140" s="1644"/>
      <c r="E140" s="1625"/>
      <c r="F140" s="1644" t="s">
        <v>1144</v>
      </c>
      <c r="G140" s="1630"/>
      <c r="H140" s="1630"/>
      <c r="I140" s="1630"/>
      <c r="J140" s="1644" t="s">
        <v>2151</v>
      </c>
      <c r="K140" s="1644"/>
      <c r="L140" s="1625"/>
      <c r="M140" s="1644" t="s">
        <v>1144</v>
      </c>
      <c r="N140" s="1630"/>
      <c r="O140" s="1630"/>
      <c r="P140" s="1630"/>
    </row>
    <row r="141" spans="1:16" ht="13.5">
      <c r="A141" s="1623"/>
      <c r="B141" s="1623"/>
      <c r="C141" s="1637">
        <f>'Part I-Project Information'!C130</f>
        <v>1</v>
      </c>
      <c r="D141" s="1637">
        <f>'Part I-Project Information'!D130</f>
        <v>0</v>
      </c>
      <c r="E141" s="1637">
        <f>'Part I-Project Information'!E130</f>
        <v>0</v>
      </c>
      <c r="F141" s="1637">
        <f>'Part I-Project Information'!F130</f>
        <v>0</v>
      </c>
      <c r="G141" s="1637">
        <f>'Part I-Project Information'!G130</f>
        <v>0</v>
      </c>
      <c r="H141" s="1637">
        <f>'Part I-Project Information'!H130</f>
        <v>0</v>
      </c>
      <c r="I141" s="1637">
        <f>'Part I-Project Information'!I130</f>
        <v>0</v>
      </c>
      <c r="J141" s="1637">
        <f>'Part I-Project Information'!J130</f>
        <v>7</v>
      </c>
      <c r="K141" s="1637">
        <f>'Part I-Project Information'!K130</f>
        <v>0</v>
      </c>
      <c r="L141" s="1637">
        <f>'Part I-Project Information'!L130</f>
        <v>0</v>
      </c>
      <c r="M141" s="1637">
        <f>'Part I-Project Information'!M130</f>
        <v>0</v>
      </c>
      <c r="N141" s="1637">
        <f>'Part I-Project Information'!N130</f>
        <v>0</v>
      </c>
      <c r="O141" s="1637">
        <f>'Part I-Project Information'!O130</f>
        <v>0</v>
      </c>
      <c r="P141" s="1637">
        <f>'Part I-Project Information'!P130</f>
        <v>0</v>
      </c>
    </row>
    <row r="142" spans="1:16" ht="13.5">
      <c r="A142" s="1623"/>
      <c r="B142" s="1623"/>
      <c r="C142" s="1637">
        <f>'Part I-Project Information'!C131</f>
        <v>2</v>
      </c>
      <c r="D142" s="1637">
        <f>'Part I-Project Information'!D131</f>
        <v>0</v>
      </c>
      <c r="E142" s="1637">
        <f>'Part I-Project Information'!E131</f>
        <v>0</v>
      </c>
      <c r="F142" s="1637">
        <f>'Part I-Project Information'!F131</f>
        <v>0</v>
      </c>
      <c r="G142" s="1637">
        <f>'Part I-Project Information'!G131</f>
        <v>0</v>
      </c>
      <c r="H142" s="1637">
        <f>'Part I-Project Information'!H131</f>
        <v>0</v>
      </c>
      <c r="I142" s="1637">
        <f>'Part I-Project Information'!I131</f>
        <v>0</v>
      </c>
      <c r="J142" s="1637">
        <f>'Part I-Project Information'!J131</f>
        <v>8</v>
      </c>
      <c r="K142" s="1637">
        <f>'Part I-Project Information'!K131</f>
        <v>0</v>
      </c>
      <c r="L142" s="1637">
        <f>'Part I-Project Information'!L131</f>
        <v>0</v>
      </c>
      <c r="M142" s="1637">
        <f>'Part I-Project Information'!M131</f>
        <v>0</v>
      </c>
      <c r="N142" s="1637">
        <f>'Part I-Project Information'!N131</f>
        <v>0</v>
      </c>
      <c r="O142" s="1637">
        <f>'Part I-Project Information'!O131</f>
        <v>0</v>
      </c>
      <c r="P142" s="1637">
        <f>'Part I-Project Information'!P131</f>
        <v>0</v>
      </c>
    </row>
    <row r="143" spans="1:16" ht="13.5">
      <c r="A143" s="1623"/>
      <c r="B143" s="1623"/>
      <c r="C143" s="1637">
        <f>'Part I-Project Information'!C132</f>
        <v>3</v>
      </c>
      <c r="D143" s="1637">
        <f>'Part I-Project Information'!D132</f>
        <v>0</v>
      </c>
      <c r="E143" s="1637">
        <f>'Part I-Project Information'!E132</f>
        <v>0</v>
      </c>
      <c r="F143" s="1637">
        <f>'Part I-Project Information'!F132</f>
        <v>0</v>
      </c>
      <c r="G143" s="1637">
        <f>'Part I-Project Information'!G132</f>
        <v>0</v>
      </c>
      <c r="H143" s="1637">
        <f>'Part I-Project Information'!H132</f>
        <v>0</v>
      </c>
      <c r="I143" s="1637">
        <f>'Part I-Project Information'!I132</f>
        <v>0</v>
      </c>
      <c r="J143" s="1637">
        <f>'Part I-Project Information'!J132</f>
        <v>9</v>
      </c>
      <c r="K143" s="1637">
        <f>'Part I-Project Information'!K132</f>
        <v>0</v>
      </c>
      <c r="L143" s="1637">
        <f>'Part I-Project Information'!L132</f>
        <v>0</v>
      </c>
      <c r="M143" s="1637">
        <f>'Part I-Project Information'!M132</f>
        <v>0</v>
      </c>
      <c r="N143" s="1637">
        <f>'Part I-Project Information'!N132</f>
        <v>0</v>
      </c>
      <c r="O143" s="1637">
        <f>'Part I-Project Information'!O132</f>
        <v>0</v>
      </c>
      <c r="P143" s="1637">
        <f>'Part I-Project Information'!P132</f>
        <v>0</v>
      </c>
    </row>
    <row r="144" spans="1:16" ht="13.5">
      <c r="A144" s="1623"/>
      <c r="B144" s="1623"/>
      <c r="C144" s="1637">
        <f>'Part I-Project Information'!C133</f>
        <v>4</v>
      </c>
      <c r="D144" s="1637">
        <f>'Part I-Project Information'!D133</f>
        <v>0</v>
      </c>
      <c r="E144" s="1637">
        <f>'Part I-Project Information'!E133</f>
        <v>0</v>
      </c>
      <c r="F144" s="1637">
        <f>'Part I-Project Information'!F133</f>
        <v>0</v>
      </c>
      <c r="G144" s="1637">
        <f>'Part I-Project Information'!G133</f>
        <v>0</v>
      </c>
      <c r="H144" s="1637">
        <f>'Part I-Project Information'!H133</f>
        <v>0</v>
      </c>
      <c r="I144" s="1637">
        <f>'Part I-Project Information'!I133</f>
        <v>0</v>
      </c>
      <c r="J144" s="1637">
        <f>'Part I-Project Information'!J133</f>
        <v>10</v>
      </c>
      <c r="K144" s="1637">
        <f>'Part I-Project Information'!K133</f>
        <v>0</v>
      </c>
      <c r="L144" s="1637">
        <f>'Part I-Project Information'!L133</f>
        <v>0</v>
      </c>
      <c r="M144" s="1637">
        <f>'Part I-Project Information'!M133</f>
        <v>0</v>
      </c>
      <c r="N144" s="1637">
        <f>'Part I-Project Information'!N133</f>
        <v>0</v>
      </c>
      <c r="O144" s="1637">
        <f>'Part I-Project Information'!O133</f>
        <v>0</v>
      </c>
      <c r="P144" s="1637">
        <f>'Part I-Project Information'!P133</f>
        <v>0</v>
      </c>
    </row>
    <row r="145" spans="1:16" ht="13.5">
      <c r="A145" s="1623"/>
      <c r="B145" s="1623"/>
      <c r="C145" s="1637">
        <f>'Part I-Project Information'!C134</f>
        <v>5</v>
      </c>
      <c r="D145" s="1637">
        <f>'Part I-Project Information'!D134</f>
        <v>0</v>
      </c>
      <c r="E145" s="1637">
        <f>'Part I-Project Information'!E134</f>
        <v>0</v>
      </c>
      <c r="F145" s="1637">
        <f>'Part I-Project Information'!F134</f>
        <v>0</v>
      </c>
      <c r="G145" s="1637">
        <f>'Part I-Project Information'!G134</f>
        <v>0</v>
      </c>
      <c r="H145" s="1637">
        <f>'Part I-Project Information'!H134</f>
        <v>0</v>
      </c>
      <c r="I145" s="1637">
        <f>'Part I-Project Information'!I134</f>
        <v>0</v>
      </c>
      <c r="J145" s="1637">
        <f>'Part I-Project Information'!J134</f>
        <v>11</v>
      </c>
      <c r="K145" s="1637">
        <f>'Part I-Project Information'!K134</f>
        <v>0</v>
      </c>
      <c r="L145" s="1637">
        <f>'Part I-Project Information'!L134</f>
        <v>0</v>
      </c>
      <c r="M145" s="1637">
        <f>'Part I-Project Information'!M134</f>
        <v>0</v>
      </c>
      <c r="N145" s="1637">
        <f>'Part I-Project Information'!N134</f>
        <v>0</v>
      </c>
      <c r="O145" s="1637">
        <f>'Part I-Project Information'!O134</f>
        <v>0</v>
      </c>
      <c r="P145" s="1637">
        <f>'Part I-Project Information'!P134</f>
        <v>0</v>
      </c>
    </row>
    <row r="146" spans="1:16" ht="13.5">
      <c r="A146" s="1623"/>
      <c r="B146" s="1623"/>
      <c r="C146" s="1637">
        <f>'Part I-Project Information'!C135</f>
        <v>6</v>
      </c>
      <c r="D146" s="1637">
        <f>'Part I-Project Information'!D135</f>
        <v>0</v>
      </c>
      <c r="E146" s="1637">
        <f>'Part I-Project Information'!E135</f>
        <v>0</v>
      </c>
      <c r="F146" s="1637">
        <f>'Part I-Project Information'!F135</f>
        <v>0</v>
      </c>
      <c r="G146" s="1637">
        <f>'Part I-Project Information'!G135</f>
        <v>0</v>
      </c>
      <c r="H146" s="1637">
        <f>'Part I-Project Information'!H135</f>
        <v>0</v>
      </c>
      <c r="I146" s="1637">
        <f>'Part I-Project Information'!I135</f>
        <v>0</v>
      </c>
      <c r="J146" s="1637">
        <f>'Part I-Project Information'!J135</f>
        <v>12</v>
      </c>
      <c r="K146" s="1637">
        <f>'Part I-Project Information'!K135</f>
        <v>0</v>
      </c>
      <c r="L146" s="1637">
        <f>'Part I-Project Information'!L135</f>
        <v>0</v>
      </c>
      <c r="M146" s="1637">
        <f>'Part I-Project Information'!M135</f>
        <v>0</v>
      </c>
      <c r="N146" s="1637">
        <f>'Part I-Project Information'!N135</f>
        <v>0</v>
      </c>
      <c r="O146" s="1637">
        <f>'Part I-Project Information'!O135</f>
        <v>0</v>
      </c>
      <c r="P146" s="1637">
        <f>'Part I-Project Information'!P135</f>
        <v>0</v>
      </c>
    </row>
    <row r="147" spans="1:16">
      <c r="A147" s="1623"/>
      <c r="B147" s="1623"/>
      <c r="C147" s="1644"/>
      <c r="D147" s="1644"/>
      <c r="E147" s="1644"/>
      <c r="F147" s="1630"/>
      <c r="G147" s="1630"/>
      <c r="H147" s="1630"/>
      <c r="I147" s="1630"/>
      <c r="J147" s="1650"/>
      <c r="K147" s="1630"/>
      <c r="L147" s="1630"/>
      <c r="M147" s="1625"/>
      <c r="N147" s="1625"/>
      <c r="O147" s="1625"/>
      <c r="P147" s="1647"/>
    </row>
    <row r="148" spans="1:16">
      <c r="A148" s="1623"/>
      <c r="B148" s="1623"/>
      <c r="C148" s="1644"/>
      <c r="D148" s="1644"/>
      <c r="E148" s="1644"/>
      <c r="F148" s="1630"/>
      <c r="G148" s="1630"/>
      <c r="H148" s="1630"/>
      <c r="I148" s="1630"/>
      <c r="J148" s="1650"/>
      <c r="K148" s="1630"/>
      <c r="L148" s="1630"/>
      <c r="M148" s="1625"/>
      <c r="N148" s="1625"/>
      <c r="O148" s="1625"/>
      <c r="P148" s="1647"/>
    </row>
    <row r="149" spans="1:16">
      <c r="A149" s="1673" t="s">
        <v>366</v>
      </c>
      <c r="B149" s="1675" t="s">
        <v>2434</v>
      </c>
      <c r="C149" s="1625"/>
      <c r="D149" s="1675"/>
      <c r="E149" s="1675"/>
      <c r="F149" s="1675"/>
      <c r="G149" s="1625"/>
      <c r="H149" s="1625"/>
      <c r="I149" s="1630" t="str">
        <f>'Part I-Project Information'!I138</f>
        <v>No</v>
      </c>
      <c r="J149" s="1625"/>
      <c r="K149" s="1625"/>
      <c r="L149" s="1625"/>
      <c r="M149" s="1630"/>
      <c r="N149" s="1625"/>
      <c r="O149" s="1625"/>
      <c r="P149" s="1647"/>
    </row>
    <row r="150" spans="1:16">
      <c r="A150" s="1673"/>
      <c r="B150" s="1623"/>
      <c r="C150" s="1676"/>
      <c r="D150" s="1676"/>
      <c r="E150" s="1676"/>
      <c r="F150" s="1676"/>
      <c r="G150" s="1630"/>
      <c r="H150" s="1625"/>
      <c r="I150" s="1625"/>
      <c r="J150" s="1625"/>
      <c r="K150" s="1625"/>
      <c r="L150" s="1625"/>
      <c r="M150" s="1630"/>
      <c r="N150" s="1625"/>
      <c r="O150" s="1625"/>
      <c r="P150" s="1625"/>
    </row>
    <row r="151" spans="1:16">
      <c r="A151" s="1623"/>
      <c r="B151" s="1623" t="s">
        <v>1999</v>
      </c>
      <c r="C151" s="1626" t="s">
        <v>1726</v>
      </c>
      <c r="D151" s="1625"/>
      <c r="E151" s="1625"/>
      <c r="F151" s="1625"/>
      <c r="G151" s="1625"/>
      <c r="H151" s="1625"/>
      <c r="I151" s="1630">
        <f>'Part I-Project Information'!I140</f>
        <v>0</v>
      </c>
      <c r="J151" s="1625"/>
      <c r="K151" s="1625"/>
      <c r="L151" s="1625"/>
      <c r="M151" s="1630"/>
      <c r="N151" s="1625"/>
      <c r="O151" s="1625"/>
      <c r="P151" s="1647"/>
    </row>
    <row r="152" spans="1:16">
      <c r="A152" s="1623"/>
      <c r="B152" s="1623"/>
      <c r="C152" s="1644" t="s">
        <v>2436</v>
      </c>
      <c r="D152" s="1644"/>
      <c r="E152" s="1644"/>
      <c r="F152" s="1630"/>
      <c r="G152" s="1625"/>
      <c r="H152" s="1625"/>
      <c r="I152" s="1630">
        <f>'Part I-Project Information'!I141</f>
        <v>0</v>
      </c>
      <c r="J152" s="1625"/>
      <c r="K152" s="1625"/>
      <c r="L152" s="1625"/>
      <c r="M152" s="1625"/>
      <c r="N152" s="1625"/>
      <c r="O152" s="1625"/>
      <c r="P152" s="1647"/>
    </row>
    <row r="153" spans="1:16">
      <c r="A153" s="1623"/>
      <c r="B153" s="1623"/>
      <c r="C153" s="1687" t="s">
        <v>1725</v>
      </c>
      <c r="D153" s="1633"/>
      <c r="E153" s="1625"/>
      <c r="F153" s="1625"/>
      <c r="G153" s="1625"/>
      <c r="H153" s="1625"/>
      <c r="I153" s="1630">
        <f>'Part I-Project Information'!I142</f>
        <v>0</v>
      </c>
      <c r="J153" s="1625"/>
      <c r="K153" s="1625"/>
      <c r="L153" s="1625"/>
      <c r="M153" s="1625"/>
      <c r="N153" s="1625"/>
      <c r="O153" s="1625"/>
      <c r="P153" s="1647"/>
    </row>
    <row r="154" spans="1:16">
      <c r="A154" s="1623"/>
      <c r="B154" s="1623"/>
      <c r="C154" s="1644" t="s">
        <v>2437</v>
      </c>
      <c r="D154" s="1644"/>
      <c r="E154" s="1644"/>
      <c r="F154" s="1630"/>
      <c r="G154" s="1625"/>
      <c r="H154" s="1625"/>
      <c r="I154" s="1630">
        <f>'Part I-Project Information'!I143</f>
        <v>0</v>
      </c>
      <c r="J154" s="1625"/>
      <c r="K154" s="1632" t="s">
        <v>2261</v>
      </c>
      <c r="L154" s="1625"/>
      <c r="M154" s="1625"/>
      <c r="N154" s="1625"/>
      <c r="O154" s="1625" t="str">
        <f>'Part I-Project Information'!O143</f>
        <v>GA-</v>
      </c>
      <c r="P154" s="1625">
        <f>'Part I-Project Information'!P143</f>
        <v>0</v>
      </c>
    </row>
    <row r="155" spans="1:16">
      <c r="A155" s="1623"/>
      <c r="B155" s="1623"/>
      <c r="C155" s="1644" t="s">
        <v>2435</v>
      </c>
      <c r="D155" s="1625"/>
      <c r="E155" s="1625"/>
      <c r="F155" s="1630"/>
      <c r="G155" s="1625"/>
      <c r="H155" s="1625"/>
      <c r="I155" s="1630">
        <f>'Part I-Project Information'!I144</f>
        <v>0</v>
      </c>
      <c r="J155" s="1625"/>
      <c r="K155" s="1632" t="s">
        <v>2262</v>
      </c>
      <c r="L155" s="1625"/>
      <c r="M155" s="1625"/>
      <c r="N155" s="1625"/>
      <c r="O155" s="1625" t="str">
        <f>'Part I-Project Information'!O144</f>
        <v>GA-</v>
      </c>
      <c r="P155" s="1625">
        <f>'Part I-Project Information'!P144</f>
        <v>0</v>
      </c>
    </row>
    <row r="156" spans="1:16">
      <c r="A156" s="1623"/>
      <c r="B156" s="1623"/>
      <c r="C156" s="1644" t="s">
        <v>2182</v>
      </c>
      <c r="D156" s="1644"/>
      <c r="E156" s="1644"/>
      <c r="F156" s="1630"/>
      <c r="G156" s="1625"/>
      <c r="H156" s="1625"/>
      <c r="I156" s="1682">
        <f>'Part I-Project Information'!I145</f>
        <v>0</v>
      </c>
      <c r="J156" s="1682">
        <f>'Part I-Project Information'!J145</f>
        <v>0</v>
      </c>
      <c r="K156" s="1625"/>
      <c r="L156" s="1625"/>
      <c r="M156" s="1625"/>
      <c r="N156" s="1625"/>
      <c r="O156" s="1625"/>
      <c r="P156" s="1647"/>
    </row>
    <row r="157" spans="1:16">
      <c r="A157" s="1623"/>
      <c r="B157" s="1623"/>
      <c r="C157" s="1644"/>
      <c r="D157" s="1644"/>
      <c r="E157" s="1644"/>
      <c r="F157" s="1630"/>
      <c r="G157" s="1625"/>
      <c r="H157" s="1625"/>
      <c r="I157" s="1625"/>
      <c r="J157" s="1625"/>
      <c r="K157" s="1625"/>
      <c r="L157" s="1625"/>
      <c r="M157" s="1625"/>
      <c r="N157" s="1625"/>
      <c r="O157" s="1625"/>
      <c r="P157" s="1647"/>
    </row>
    <row r="158" spans="1:16">
      <c r="A158" s="1623"/>
      <c r="B158" s="1623" t="s">
        <v>2001</v>
      </c>
      <c r="C158" s="1676" t="s">
        <v>2506</v>
      </c>
      <c r="D158" s="1644"/>
      <c r="E158" s="1644"/>
      <c r="F158" s="1630"/>
      <c r="G158" s="1625"/>
      <c r="H158" s="1625"/>
      <c r="I158" s="1650">
        <f>'Part I-Project Information'!I147</f>
        <v>0</v>
      </c>
      <c r="J158" s="1625"/>
      <c r="K158" s="1625"/>
      <c r="L158" s="1625"/>
      <c r="M158" s="1625"/>
      <c r="N158" s="1625"/>
      <c r="O158" s="1625"/>
      <c r="P158" s="1647"/>
    </row>
    <row r="159" spans="1:16">
      <c r="A159" s="1623"/>
      <c r="B159" s="1623"/>
      <c r="C159" s="1644"/>
      <c r="D159" s="1644"/>
      <c r="E159" s="1644"/>
      <c r="F159" s="1630"/>
      <c r="G159" s="1630"/>
      <c r="H159" s="1625"/>
      <c r="I159" s="1625"/>
      <c r="J159" s="1625"/>
      <c r="K159" s="1625"/>
      <c r="L159" s="1625"/>
      <c r="M159" s="1630"/>
      <c r="N159" s="1625"/>
      <c r="O159" s="1625"/>
      <c r="P159" s="1647"/>
    </row>
    <row r="160" spans="1:16">
      <c r="A160" s="1623"/>
      <c r="B160" s="1623" t="s">
        <v>757</v>
      </c>
      <c r="C160" s="1676" t="s">
        <v>2719</v>
      </c>
      <c r="D160" s="1644"/>
      <c r="E160" s="1644"/>
      <c r="F160" s="1630"/>
      <c r="G160" s="1630"/>
      <c r="H160" s="1625"/>
      <c r="I160" s="1625"/>
      <c r="J160" s="1625"/>
      <c r="K160" s="1625"/>
      <c r="L160" s="1625"/>
      <c r="M160" s="1625"/>
      <c r="N160" s="1625"/>
      <c r="O160" s="1625"/>
      <c r="P160" s="1647"/>
    </row>
    <row r="161" spans="1:16">
      <c r="A161" s="1623"/>
      <c r="B161" s="1623"/>
      <c r="C161" s="1644" t="s">
        <v>4747</v>
      </c>
      <c r="D161" s="1644"/>
      <c r="E161" s="1644"/>
      <c r="F161" s="1630"/>
      <c r="G161" s="1630"/>
      <c r="H161" s="1625"/>
      <c r="I161" s="1650">
        <f>'Part I-Project Information'!I150</f>
        <v>0</v>
      </c>
      <c r="J161" s="1625"/>
      <c r="K161" s="1644" t="s">
        <v>1547</v>
      </c>
      <c r="L161" s="1644"/>
      <c r="M161" s="1630"/>
      <c r="N161" s="1630"/>
      <c r="O161" s="1650">
        <f>'Part I-Project Information'!O150</f>
        <v>0</v>
      </c>
      <c r="P161" s="1647"/>
    </row>
    <row r="162" spans="1:16">
      <c r="A162" s="1623"/>
      <c r="B162" s="1623"/>
      <c r="C162" s="1644"/>
      <c r="D162" s="1644"/>
      <c r="E162" s="1644"/>
      <c r="F162" s="1630"/>
      <c r="G162" s="1630"/>
      <c r="H162" s="1630"/>
      <c r="I162" s="1630"/>
      <c r="J162" s="1650"/>
      <c r="K162" s="1630"/>
      <c r="L162" s="1630"/>
      <c r="M162" s="1625"/>
      <c r="N162" s="1625"/>
      <c r="O162" s="1625"/>
      <c r="P162" s="1647"/>
    </row>
    <row r="163" spans="1:16">
      <c r="A163" s="1673" t="s">
        <v>1739</v>
      </c>
      <c r="B163" s="1675" t="s">
        <v>1201</v>
      </c>
      <c r="C163" s="1625"/>
      <c r="D163" s="1675"/>
      <c r="E163" s="1675"/>
      <c r="F163" s="1675"/>
      <c r="G163" s="1630"/>
      <c r="H163" s="1630"/>
      <c r="I163" s="1630"/>
      <c r="J163" s="1650"/>
      <c r="K163" s="1630"/>
      <c r="L163" s="1630"/>
      <c r="M163" s="1625"/>
      <c r="N163" s="1625"/>
      <c r="O163" s="1625"/>
      <c r="P163" s="1647"/>
    </row>
    <row r="164" spans="1:16">
      <c r="A164" s="1673"/>
      <c r="B164" s="1623"/>
      <c r="C164" s="1676"/>
      <c r="D164" s="1676"/>
      <c r="E164" s="1676"/>
      <c r="F164" s="1676"/>
      <c r="G164" s="1630"/>
      <c r="H164" s="1630"/>
      <c r="I164" s="1630"/>
      <c r="J164" s="1650"/>
      <c r="K164" s="1630"/>
      <c r="L164" s="1630"/>
      <c r="M164" s="1625"/>
      <c r="N164" s="1625"/>
      <c r="O164" s="1625"/>
      <c r="P164" s="1625"/>
    </row>
    <row r="165" spans="1:16">
      <c r="A165" s="1623"/>
      <c r="B165" s="1623" t="s">
        <v>1999</v>
      </c>
      <c r="C165" s="1663" t="s">
        <v>1836</v>
      </c>
      <c r="D165" s="1625"/>
      <c r="E165" s="1625"/>
      <c r="F165" s="1630"/>
      <c r="G165" s="1630"/>
      <c r="H165" s="1630"/>
      <c r="I165" s="1630"/>
      <c r="J165" s="1650"/>
      <c r="K165" s="1630"/>
      <c r="L165" s="1630"/>
      <c r="M165" s="1625"/>
      <c r="N165" s="1625"/>
      <c r="O165" s="1625"/>
      <c r="P165" s="1647"/>
    </row>
    <row r="166" spans="1:16">
      <c r="A166" s="1623"/>
      <c r="B166" s="1623"/>
      <c r="C166" s="1656" t="s">
        <v>1539</v>
      </c>
      <c r="D166" s="1650"/>
      <c r="E166" s="1650"/>
      <c r="F166" s="1630"/>
      <c r="G166" s="1630"/>
      <c r="H166" s="1630"/>
      <c r="I166" s="1630"/>
      <c r="J166" s="1625"/>
      <c r="K166" s="1650" t="str">
        <f>'Part I-Project Information'!K155</f>
        <v>No</v>
      </c>
      <c r="L166" s="1625"/>
      <c r="M166" s="1625"/>
      <c r="N166" s="1625"/>
      <c r="O166" s="1625"/>
      <c r="P166" s="1647"/>
    </row>
    <row r="167" spans="1:16">
      <c r="A167" s="1623"/>
      <c r="B167" s="1623"/>
      <c r="C167" s="1625" t="s">
        <v>621</v>
      </c>
      <c r="D167" s="1625"/>
      <c r="E167" s="1625"/>
      <c r="F167" s="1625"/>
      <c r="G167" s="1625"/>
      <c r="H167" s="1625"/>
      <c r="I167" s="1625"/>
      <c r="J167" s="1625"/>
      <c r="K167" s="1650">
        <f>'Part I-Project Information'!K156</f>
        <v>0</v>
      </c>
      <c r="L167" s="1633" t="s">
        <v>1808</v>
      </c>
      <c r="M167" s="1625"/>
      <c r="N167" s="1625"/>
      <c r="O167" s="1625"/>
      <c r="P167" s="1688">
        <f>IF('Part VI-Revenues &amp; Expenses'!O$60=0,0,K167/'Part VI-Revenues &amp; Expenses'!$O$60)</f>
        <v>0</v>
      </c>
    </row>
    <row r="168" spans="1:16">
      <c r="A168" s="1623"/>
      <c r="B168" s="1623"/>
      <c r="C168" s="1625" t="s">
        <v>4748</v>
      </c>
      <c r="D168" s="1625"/>
      <c r="E168" s="1625"/>
      <c r="F168" s="1625"/>
      <c r="G168" s="1625"/>
      <c r="H168" s="1674">
        <f>'Part I-Project Information'!H157</f>
        <v>25</v>
      </c>
      <c r="I168" s="1631"/>
      <c r="J168" s="1689" t="s">
        <v>3752</v>
      </c>
      <c r="K168" s="1650">
        <f>'Part I-Project Information'!K157</f>
        <v>0</v>
      </c>
      <c r="L168" s="1633" t="s">
        <v>1808</v>
      </c>
      <c r="M168" s="1625"/>
      <c r="N168" s="1625"/>
      <c r="O168" s="1688">
        <f>IF('Part VI-Revenues &amp; Expenses'!$O$60=0,0,H168/'Part VI-Revenues &amp; Expenses'!$O$60)</f>
        <v>0.38461538461538464</v>
      </c>
      <c r="P168" s="1688">
        <f>IF('Part VI-Revenues &amp; Expenses'!O$60=0,0,K168/'Part VI-Revenues &amp; Expenses'!$O$60)</f>
        <v>0</v>
      </c>
    </row>
    <row r="169" spans="1:16">
      <c r="A169" s="1623"/>
      <c r="B169" s="1623"/>
      <c r="C169" s="1625" t="s">
        <v>1809</v>
      </c>
      <c r="D169" s="1625"/>
      <c r="E169" s="1625" t="str">
        <f>'Part I-Project Information'!E158</f>
        <v>Macon Housing Authority</v>
      </c>
      <c r="F169" s="1625">
        <f>'Part I-Project Information'!F158</f>
        <v>0</v>
      </c>
      <c r="G169" s="1625">
        <f>'Part I-Project Information'!G158</f>
        <v>0</v>
      </c>
      <c r="H169" s="1625">
        <f>'Part I-Project Information'!H158</f>
        <v>0</v>
      </c>
      <c r="I169" s="1625">
        <f>'Part I-Project Information'!I158</f>
        <v>0</v>
      </c>
      <c r="J169" s="1625">
        <f>'Part I-Project Information'!J158</f>
        <v>0</v>
      </c>
      <c r="K169" s="1625">
        <f>'Part I-Project Information'!K158</f>
        <v>0</v>
      </c>
      <c r="L169" s="1633" t="s">
        <v>1810</v>
      </c>
      <c r="M169" s="1625" t="str">
        <f>'Part I-Project Information'!M158</f>
        <v>Mike Austin</v>
      </c>
      <c r="N169" s="1625">
        <f>'Part I-Project Information'!N158</f>
        <v>0</v>
      </c>
      <c r="O169" s="1625">
        <f>'Part I-Project Information'!O158</f>
        <v>0</v>
      </c>
      <c r="P169" s="1625">
        <f>'Part I-Project Information'!P158</f>
        <v>0</v>
      </c>
    </row>
    <row r="170" spans="1:16">
      <c r="A170" s="1623"/>
      <c r="B170" s="1623"/>
      <c r="C170" s="1633" t="s">
        <v>1811</v>
      </c>
      <c r="D170" s="1636"/>
      <c r="E170" s="1625" t="str">
        <f>'Part I-Project Information'!E159</f>
        <v>2015 Felton Avenue</v>
      </c>
      <c r="F170" s="1625">
        <f>'Part I-Project Information'!F159</f>
        <v>0</v>
      </c>
      <c r="G170" s="1625">
        <f>'Part I-Project Information'!G159</f>
        <v>0</v>
      </c>
      <c r="H170" s="1625">
        <f>'Part I-Project Information'!H159</f>
        <v>0</v>
      </c>
      <c r="I170" s="1625">
        <f>'Part I-Project Information'!I159</f>
        <v>0</v>
      </c>
      <c r="J170" s="1625">
        <f>'Part I-Project Information'!J159</f>
        <v>0</v>
      </c>
      <c r="K170" s="1625">
        <f>'Part I-Project Information'!K159</f>
        <v>0</v>
      </c>
      <c r="L170" s="1633" t="s">
        <v>1815</v>
      </c>
      <c r="M170" s="1646">
        <f>'Part I-Project Information'!M159</f>
        <v>4787525070</v>
      </c>
      <c r="N170" s="1646">
        <f>'Part I-Project Information'!N159</f>
        <v>0</v>
      </c>
      <c r="O170" s="1646">
        <f>'Part I-Project Information'!O159</f>
        <v>0</v>
      </c>
      <c r="P170" s="1625"/>
    </row>
    <row r="171" spans="1:16">
      <c r="A171" s="1623"/>
      <c r="B171" s="1623"/>
      <c r="C171" s="1633" t="s">
        <v>624</v>
      </c>
      <c r="D171" s="1625"/>
      <c r="E171" s="1625" t="str">
        <f>'Part I-Project Information'!E160</f>
        <v xml:space="preserve">Macon  </v>
      </c>
      <c r="F171" s="1625">
        <f>'Part I-Project Information'!F160</f>
        <v>0</v>
      </c>
      <c r="G171" s="1625">
        <f>'Part I-Project Information'!G160</f>
        <v>0</v>
      </c>
      <c r="H171" s="1625">
        <f>'Part I-Project Information'!H160</f>
        <v>0</v>
      </c>
      <c r="I171" s="1630" t="s">
        <v>2245</v>
      </c>
      <c r="J171" s="1645">
        <f>'Part I-Project Information'!J160</f>
        <v>312012404</v>
      </c>
      <c r="K171" s="1645">
        <f>'Part I-Project Information'!K160</f>
        <v>0</v>
      </c>
      <c r="L171" s="1633" t="s">
        <v>1995</v>
      </c>
      <c r="M171" s="1646">
        <f>'Part I-Project Information'!M160</f>
        <v>4783207044</v>
      </c>
      <c r="N171" s="1646">
        <f>'Part I-Project Information'!N160</f>
        <v>0</v>
      </c>
      <c r="O171" s="1646">
        <f>'Part I-Project Information'!O160</f>
        <v>0</v>
      </c>
      <c r="P171" s="1625"/>
    </row>
    <row r="172" spans="1:16">
      <c r="A172" s="1623"/>
      <c r="B172" s="1623"/>
      <c r="C172" s="1633" t="s">
        <v>1814</v>
      </c>
      <c r="D172" s="1625"/>
      <c r="E172" s="1646">
        <f>'Part I-Project Information'!E161</f>
        <v>4787525071</v>
      </c>
      <c r="F172" s="1646">
        <f>'Part I-Project Information'!F161</f>
        <v>0</v>
      </c>
      <c r="G172" s="1646">
        <f>'Part I-Project Information'!G161</f>
        <v>0</v>
      </c>
      <c r="H172" s="1630"/>
      <c r="I172" s="1630" t="s">
        <v>1813</v>
      </c>
      <c r="J172" s="1641" t="str">
        <f>'Part I-Project Information'!J161</f>
        <v>maustin@maconhousing.com</v>
      </c>
      <c r="K172" s="1641">
        <f>'Part I-Project Information'!K161</f>
        <v>0</v>
      </c>
      <c r="L172" s="1641">
        <f>'Part I-Project Information'!L161</f>
        <v>0</v>
      </c>
      <c r="M172" s="1641">
        <f>'Part I-Project Information'!M161</f>
        <v>0</v>
      </c>
      <c r="N172" s="1641">
        <f>'Part I-Project Information'!N161</f>
        <v>0</v>
      </c>
      <c r="O172" s="1641">
        <f>'Part I-Project Information'!O161</f>
        <v>0</v>
      </c>
      <c r="P172" s="1641">
        <f>'Part I-Project Information'!P161</f>
        <v>0</v>
      </c>
    </row>
    <row r="173" spans="1:16">
      <c r="A173" s="1623"/>
      <c r="B173" s="1623"/>
      <c r="C173" s="1633"/>
      <c r="D173" s="1625"/>
      <c r="E173" s="1690"/>
      <c r="F173" s="1690"/>
      <c r="G173" s="1690"/>
      <c r="H173" s="1630"/>
      <c r="I173" s="1690"/>
      <c r="J173" s="1690"/>
      <c r="K173" s="1630"/>
      <c r="L173" s="1690"/>
      <c r="M173" s="1690"/>
      <c r="N173" s="1630"/>
      <c r="O173" s="1690"/>
      <c r="P173" s="1690"/>
    </row>
    <row r="174" spans="1:16">
      <c r="A174" s="1623"/>
      <c r="B174" s="1623" t="s">
        <v>2001</v>
      </c>
      <c r="C174" s="1676" t="s">
        <v>2720</v>
      </c>
      <c r="D174" s="1676"/>
      <c r="E174" s="1676"/>
      <c r="F174" s="1676"/>
      <c r="G174" s="1676"/>
      <c r="H174" s="1625"/>
      <c r="I174" s="1650" t="str">
        <f>'Part I-Project Information'!I163</f>
        <v>No</v>
      </c>
      <c r="J174" s="1656" t="s">
        <v>769</v>
      </c>
      <c r="K174" s="1656"/>
      <c r="L174" s="1650">
        <f>'Part I-Project Information'!L163</f>
        <v>0</v>
      </c>
      <c r="M174" s="1625" t="s">
        <v>2342</v>
      </c>
      <c r="N174" s="1625"/>
      <c r="O174" s="1625"/>
      <c r="P174" s="1691">
        <f>'Part I-Project Information'!P163</f>
        <v>0</v>
      </c>
    </row>
    <row r="175" spans="1:16">
      <c r="A175" s="1623"/>
      <c r="B175" s="1623"/>
      <c r="C175" s="1676"/>
      <c r="D175" s="1676"/>
      <c r="E175" s="1622"/>
      <c r="F175" s="1676"/>
      <c r="G175" s="1676"/>
      <c r="H175" s="1625"/>
      <c r="I175" s="1625"/>
      <c r="J175" s="1632"/>
      <c r="K175" s="1650"/>
      <c r="L175" s="1625"/>
      <c r="M175" s="1625"/>
      <c r="N175" s="1625"/>
      <c r="O175" s="1630"/>
      <c r="P175" s="1647"/>
    </row>
    <row r="176" spans="1:16">
      <c r="A176" s="1623"/>
      <c r="B176" s="1623"/>
      <c r="C176" s="1676" t="s">
        <v>2721</v>
      </c>
      <c r="D176" s="1676"/>
      <c r="E176" s="1676"/>
      <c r="F176" s="1676"/>
      <c r="G176" s="1676"/>
      <c r="H176" s="1625"/>
      <c r="I176" s="1650" t="str">
        <f>'Part I-Project Information'!I165</f>
        <v>Yes</v>
      </c>
      <c r="J176" s="1656" t="s">
        <v>769</v>
      </c>
      <c r="K176" s="1656"/>
      <c r="L176" s="1650">
        <f>'Part I-Project Information'!L165</f>
        <v>2040</v>
      </c>
      <c r="M176" s="1625" t="s">
        <v>2342</v>
      </c>
      <c r="N176" s="1625"/>
      <c r="O176" s="1625"/>
      <c r="P176" s="1691">
        <f>'Part I-Project Information'!P165</f>
        <v>5</v>
      </c>
    </row>
    <row r="177" spans="1:16">
      <c r="A177" s="1623"/>
      <c r="B177" s="1623"/>
      <c r="C177" s="1676"/>
      <c r="D177" s="1676"/>
      <c r="E177" s="1622"/>
      <c r="F177" s="1676"/>
      <c r="G177" s="1676"/>
      <c r="H177" s="1625"/>
      <c r="I177" s="1625"/>
      <c r="J177" s="1632"/>
      <c r="K177" s="1650"/>
      <c r="L177" s="1625"/>
      <c r="M177" s="1625"/>
      <c r="N177" s="1625"/>
      <c r="O177" s="1630"/>
      <c r="P177" s="1647"/>
    </row>
    <row r="178" spans="1:16">
      <c r="A178" s="1623"/>
      <c r="B178" s="1623" t="s">
        <v>757</v>
      </c>
      <c r="C178" s="1676" t="s">
        <v>1770</v>
      </c>
      <c r="D178" s="1676"/>
      <c r="E178" s="1676"/>
      <c r="F178" s="1676"/>
      <c r="G178" s="1676"/>
      <c r="H178" s="1625"/>
      <c r="I178" s="1650" t="str">
        <f>'Part I-Project Information'!I167</f>
        <v>No</v>
      </c>
      <c r="J178" s="1625"/>
      <c r="K178" s="1625"/>
      <c r="L178" s="1632"/>
      <c r="M178" s="1632"/>
      <c r="N178" s="1625"/>
      <c r="O178" s="1625"/>
      <c r="P178" s="1647"/>
    </row>
    <row r="179" spans="1:16">
      <c r="A179" s="1623"/>
      <c r="B179" s="1623"/>
      <c r="C179" s="1633"/>
      <c r="D179" s="1625"/>
      <c r="E179" s="1690"/>
      <c r="F179" s="1690"/>
      <c r="G179" s="1690"/>
      <c r="H179" s="1625"/>
      <c r="I179" s="1690"/>
      <c r="J179" s="1690"/>
      <c r="K179" s="1630"/>
      <c r="L179" s="1690"/>
      <c r="M179" s="1690"/>
      <c r="N179" s="1630"/>
      <c r="O179" s="1690"/>
      <c r="P179" s="1690"/>
    </row>
    <row r="180" spans="1:16">
      <c r="A180" s="1623"/>
      <c r="B180" s="1623" t="s">
        <v>2131</v>
      </c>
      <c r="C180" s="1675" t="s">
        <v>1994</v>
      </c>
      <c r="D180" s="1675"/>
      <c r="E180" s="1675"/>
      <c r="F180" s="1675"/>
      <c r="G180" s="1676"/>
      <c r="H180" s="1625"/>
      <c r="I180" s="1650" t="str">
        <f>'Part I-Project Information'!I169</f>
        <v>No</v>
      </c>
      <c r="J180" s="1692" t="s">
        <v>2771</v>
      </c>
      <c r="K180" s="1625"/>
      <c r="L180" s="1656" t="s">
        <v>4749</v>
      </c>
      <c r="M180" s="1656"/>
      <c r="N180" s="1676"/>
      <c r="O180" s="1676"/>
      <c r="P180" s="1674">
        <f>'Part I-Project Information'!P169</f>
        <v>0</v>
      </c>
    </row>
    <row r="181" spans="1:16">
      <c r="A181" s="1625"/>
      <c r="B181" s="1623"/>
      <c r="C181" s="1625"/>
      <c r="D181" s="1625"/>
      <c r="E181" s="1625"/>
      <c r="F181" s="1625"/>
      <c r="G181" s="1625"/>
      <c r="H181" s="1625"/>
      <c r="I181" s="1625"/>
      <c r="J181" s="1625"/>
      <c r="K181" s="1625"/>
      <c r="L181" s="1625" t="s">
        <v>805</v>
      </c>
      <c r="M181" s="1625"/>
      <c r="N181" s="1676"/>
      <c r="O181" s="1676"/>
      <c r="P181" s="1674">
        <f>'Part I-Project Information'!P170</f>
        <v>0</v>
      </c>
    </row>
    <row r="182" spans="1:16">
      <c r="A182" s="1623"/>
      <c r="B182" s="1623"/>
      <c r="C182" s="1625"/>
      <c r="D182" s="1625"/>
      <c r="E182" s="1625"/>
      <c r="F182" s="1625"/>
      <c r="G182" s="1625"/>
      <c r="H182" s="1625"/>
      <c r="I182" s="1625"/>
      <c r="J182" s="1625"/>
      <c r="K182" s="1625"/>
      <c r="L182" s="1625" t="s">
        <v>1804</v>
      </c>
      <c r="M182" s="1625"/>
      <c r="N182" s="1676"/>
      <c r="O182" s="1676"/>
      <c r="P182" s="1693" t="e">
        <f>IF(P180="","",P181/P180)</f>
        <v>#DIV/0!</v>
      </c>
    </row>
    <row r="183" spans="1:16">
      <c r="A183" s="1623"/>
      <c r="B183" s="1623" t="s">
        <v>1748</v>
      </c>
      <c r="C183" s="1626" t="s">
        <v>1621</v>
      </c>
      <c r="D183" s="1644"/>
      <c r="E183" s="1644"/>
      <c r="F183" s="1644"/>
      <c r="G183" s="1644"/>
      <c r="H183" s="1630"/>
      <c r="I183" s="1625"/>
      <c r="J183" s="1632"/>
      <c r="K183" s="1650"/>
      <c r="L183" s="1625"/>
      <c r="M183" s="1625"/>
      <c r="N183" s="1625"/>
      <c r="O183" s="1630"/>
      <c r="P183" s="1647"/>
    </row>
    <row r="184" spans="1:16">
      <c r="A184" s="1623"/>
      <c r="B184" s="1623"/>
      <c r="C184" s="1625" t="s">
        <v>2228</v>
      </c>
      <c r="D184" s="1622"/>
      <c r="E184" s="1625"/>
      <c r="F184" s="1625"/>
      <c r="G184" s="1625"/>
      <c r="H184" s="1625"/>
      <c r="I184" s="1650" t="str">
        <f>'Part I-Project Information'!I173</f>
        <v>Yes</v>
      </c>
      <c r="J184" s="1625"/>
      <c r="K184" s="1625"/>
      <c r="L184" s="1625" t="s">
        <v>1622</v>
      </c>
      <c r="M184" s="1625"/>
      <c r="N184" s="1625"/>
      <c r="O184" s="1625"/>
      <c r="P184" s="1650" t="str">
        <f>'Part I-Project Information'!P173</f>
        <v>Yes</v>
      </c>
    </row>
    <row r="185" spans="1:16">
      <c r="A185" s="1623"/>
      <c r="B185" s="1623"/>
      <c r="C185" s="1625" t="s">
        <v>2229</v>
      </c>
      <c r="D185" s="1625"/>
      <c r="E185" s="1625"/>
      <c r="F185" s="1625"/>
      <c r="G185" s="1625"/>
      <c r="H185" s="1625"/>
      <c r="I185" s="1650" t="str">
        <f>'Part I-Project Information'!I174</f>
        <v>No</v>
      </c>
      <c r="J185" s="1625"/>
      <c r="K185" s="1625"/>
      <c r="L185" s="1625" t="s">
        <v>2863</v>
      </c>
      <c r="M185" s="1625"/>
      <c r="N185" s="1625"/>
      <c r="O185" s="1625"/>
      <c r="P185" s="1650" t="str">
        <f>'Part I-Project Information'!P174</f>
        <v>No</v>
      </c>
    </row>
    <row r="186" spans="1:16" ht="13.5">
      <c r="A186" s="1623"/>
      <c r="B186" s="1625"/>
      <c r="C186" s="1625" t="s">
        <v>2740</v>
      </c>
      <c r="D186" s="1625"/>
      <c r="E186" s="1625"/>
      <c r="F186" s="1625"/>
      <c r="G186" s="1625"/>
      <c r="H186" s="1625"/>
      <c r="I186" s="1650" t="str">
        <f>'Part I-Project Information'!I175</f>
        <v>No</v>
      </c>
      <c r="J186" s="1625"/>
      <c r="K186" s="1625"/>
      <c r="L186" s="1625" t="s">
        <v>2707</v>
      </c>
      <c r="M186" s="1625"/>
      <c r="N186" s="1694">
        <f>'Part I-Project Information'!N175</f>
        <v>0</v>
      </c>
      <c r="O186" s="1694">
        <f>'Part I-Project Information'!O175</f>
        <v>0</v>
      </c>
      <c r="P186" s="1650">
        <f>'Part I-Project Information'!P175</f>
        <v>0</v>
      </c>
    </row>
    <row r="187" spans="1:16" ht="13.5">
      <c r="A187" s="1623"/>
      <c r="B187" s="1623"/>
      <c r="C187" s="1625" t="s">
        <v>1297</v>
      </c>
      <c r="D187" s="1695"/>
      <c r="E187" s="1625"/>
      <c r="F187" s="1625"/>
      <c r="G187" s="1625"/>
      <c r="H187" s="1625"/>
      <c r="I187" s="1650" t="str">
        <f>'Part I-Project Information'!I176</f>
        <v>No</v>
      </c>
      <c r="J187" s="1625"/>
      <c r="K187" s="1622"/>
      <c r="L187" s="1625" t="s">
        <v>3505</v>
      </c>
      <c r="M187" s="1625"/>
      <c r="N187" s="1625"/>
      <c r="O187" s="1625"/>
      <c r="P187" s="1650" t="str">
        <f>'Part I-Project Information'!P176</f>
        <v>No</v>
      </c>
    </row>
    <row r="188" spans="1:16">
      <c r="A188" s="1623"/>
      <c r="B188" s="1622"/>
      <c r="C188" s="1625" t="s">
        <v>1820</v>
      </c>
      <c r="D188" s="1625"/>
      <c r="E188" s="1625"/>
      <c r="F188" s="1625"/>
      <c r="G188" s="1625"/>
      <c r="H188" s="1625"/>
      <c r="I188" s="1650" t="str">
        <f>'Part I-Project Information'!I177</f>
        <v>No</v>
      </c>
      <c r="J188" s="1692" t="s">
        <v>2772</v>
      </c>
      <c r="K188" s="1625"/>
      <c r="L188" s="1625"/>
      <c r="M188" s="1625"/>
      <c r="N188" s="1625"/>
      <c r="O188" s="1696">
        <f>'Part I-Project Information'!O177</f>
        <v>0</v>
      </c>
      <c r="P188" s="1696">
        <f>'Part I-Project Information'!P177</f>
        <v>0</v>
      </c>
    </row>
    <row r="189" spans="1:16">
      <c r="A189" s="1623"/>
      <c r="B189" s="1623"/>
      <c r="C189" s="1625" t="s">
        <v>2921</v>
      </c>
      <c r="D189" s="1625"/>
      <c r="E189" s="1625"/>
      <c r="F189" s="1625"/>
      <c r="G189" s="1625"/>
      <c r="H189" s="1625"/>
      <c r="I189" s="1650" t="str">
        <f>'Part I-Project Information'!I178</f>
        <v>No</v>
      </c>
      <c r="J189" s="1692" t="s">
        <v>2772</v>
      </c>
      <c r="K189" s="1625"/>
      <c r="L189" s="1625"/>
      <c r="M189" s="1625"/>
      <c r="N189" s="1625"/>
      <c r="O189" s="1696">
        <f>'Part I-Project Information'!O178</f>
        <v>0</v>
      </c>
      <c r="P189" s="1696">
        <f>'Part I-Project Information'!P178</f>
        <v>0</v>
      </c>
    </row>
    <row r="190" spans="1:16">
      <c r="A190" s="1623"/>
      <c r="B190" s="1623"/>
      <c r="C190" s="1625"/>
      <c r="D190" s="1625"/>
      <c r="E190" s="1625"/>
      <c r="F190" s="1625"/>
      <c r="G190" s="1625"/>
      <c r="H190" s="1625"/>
      <c r="I190" s="1625"/>
      <c r="J190" s="1625"/>
      <c r="K190" s="1625"/>
      <c r="L190" s="1625"/>
      <c r="M190" s="1625"/>
      <c r="N190" s="1625"/>
      <c r="O190" s="1625"/>
      <c r="P190" s="1632"/>
    </row>
    <row r="191" spans="1:16">
      <c r="A191" s="1625"/>
      <c r="B191" s="1623" t="s">
        <v>1749</v>
      </c>
      <c r="C191" s="1626" t="s">
        <v>747</v>
      </c>
      <c r="D191" s="1625"/>
      <c r="E191" s="1625"/>
      <c r="F191" s="1625"/>
      <c r="G191" s="1625"/>
      <c r="H191" s="1625"/>
      <c r="I191" s="1625"/>
      <c r="J191" s="1625"/>
      <c r="K191" s="1625"/>
      <c r="L191" s="1625"/>
      <c r="M191" s="1625"/>
      <c r="N191" s="1625"/>
      <c r="O191" s="1625"/>
      <c r="P191" s="1625"/>
    </row>
    <row r="192" spans="1:16">
      <c r="A192" s="1623"/>
      <c r="B192" s="1623"/>
      <c r="C192" s="1633" t="s">
        <v>645</v>
      </c>
      <c r="D192" s="1644"/>
      <c r="E192" s="1644"/>
      <c r="F192" s="1630"/>
      <c r="G192" s="1630"/>
      <c r="H192" s="1682" t="str">
        <f>'Part I-Project Information'!H181</f>
        <v>N/A</v>
      </c>
      <c r="I192" s="1682">
        <f>'Part I-Project Information'!I181</f>
        <v>0</v>
      </c>
      <c r="J192" s="1625"/>
      <c r="K192" s="1625"/>
      <c r="L192" s="1625"/>
      <c r="M192" s="1625"/>
      <c r="N192" s="1625"/>
      <c r="O192" s="1625"/>
      <c r="P192" s="1647"/>
    </row>
    <row r="193" spans="1:19">
      <c r="A193" s="1623"/>
      <c r="B193" s="1623"/>
      <c r="C193" s="1633" t="s">
        <v>278</v>
      </c>
      <c r="D193" s="1644"/>
      <c r="E193" s="1644"/>
      <c r="F193" s="1630"/>
      <c r="G193" s="1630"/>
      <c r="H193" s="1682" t="str">
        <f>'Part I-Project Information'!H182</f>
        <v>N/A</v>
      </c>
      <c r="I193" s="1682">
        <f>'Part I-Project Information'!I182</f>
        <v>0</v>
      </c>
      <c r="J193" s="1625"/>
      <c r="K193" s="1625"/>
      <c r="L193" s="1625"/>
      <c r="M193" s="1625"/>
      <c r="N193" s="1625"/>
      <c r="O193" s="1625"/>
      <c r="P193" s="1647"/>
    </row>
    <row r="194" spans="1:19">
      <c r="A194" s="1623"/>
      <c r="B194" s="1623"/>
      <c r="C194" s="1633" t="s">
        <v>2311</v>
      </c>
      <c r="D194" s="1644"/>
      <c r="E194" s="1644"/>
      <c r="F194" s="1630"/>
      <c r="G194" s="1630"/>
      <c r="H194" s="1682">
        <f>'Part I-Project Information'!H183</f>
        <v>44196</v>
      </c>
      <c r="I194" s="1682">
        <f>'Part I-Project Information'!I183</f>
        <v>0</v>
      </c>
      <c r="J194" s="1625"/>
      <c r="K194" s="1625"/>
      <c r="L194" s="1625"/>
      <c r="M194" s="1625"/>
      <c r="N194" s="1625"/>
      <c r="O194" s="1625"/>
      <c r="P194" s="1647"/>
    </row>
    <row r="195" spans="1:19">
      <c r="A195" s="1625"/>
      <c r="B195" s="1622"/>
      <c r="C195" s="1625"/>
      <c r="D195" s="1625"/>
      <c r="E195" s="1625"/>
      <c r="F195" s="1625"/>
      <c r="G195" s="1625"/>
      <c r="H195" s="1625"/>
      <c r="I195" s="1625"/>
      <c r="J195" s="1625"/>
      <c r="K195" s="1625"/>
      <c r="L195" s="1632"/>
      <c r="M195" s="1632"/>
      <c r="N195" s="1632"/>
      <c r="O195" s="1632"/>
      <c r="P195" s="1636"/>
    </row>
    <row r="196" spans="1:19">
      <c r="A196" s="1673" t="s">
        <v>2800</v>
      </c>
      <c r="B196" s="1675"/>
      <c r="C196" s="1673" t="s">
        <v>577</v>
      </c>
      <c r="D196" s="1632"/>
      <c r="E196" s="1632"/>
      <c r="F196" s="1632"/>
      <c r="G196" s="1632"/>
      <c r="H196" s="1632"/>
      <c r="I196" s="1632"/>
      <c r="J196" s="1632"/>
      <c r="K196" s="1632"/>
      <c r="L196" s="1632"/>
      <c r="M196" s="1673" t="s">
        <v>2267</v>
      </c>
      <c r="N196" s="1673" t="s">
        <v>80</v>
      </c>
      <c r="O196" s="1632"/>
      <c r="P196" s="1632"/>
    </row>
    <row r="197" spans="1:19" ht="12.75" customHeight="1">
      <c r="A197" s="1697" t="str">
        <f>'Part I-Project Information'!A186</f>
        <v xml:space="preserve">Item IV.  Some explanation of the use of "985 Plant Street" is required.  Since none of the 56 Tindall Heights buildings had an actual street address, the site had historically been locally known as "985 Plant Street."  This was the street address for the property management site office, and is now the "generic" address for the site. We have provided geo coordinates for accurate access to the site entrance.  The eventual address for Tindall Fields III will be assigned by local authorities when construction is underway.  
We are using the 2016 waiver granted by DCA for Phases II, III, and IV of the Tindall Heights public housing replacement project to use the community building proposed in the Tindall Fields Phase I application (application #2016-043) in 2016.  </v>
      </c>
      <c r="B197" s="1697">
        <f>'Part I-Project Information'!B186</f>
        <v>0</v>
      </c>
      <c r="C197" s="1697">
        <f>'Part I-Project Information'!C186</f>
        <v>0</v>
      </c>
      <c r="D197" s="1697">
        <f>'Part I-Project Information'!D186</f>
        <v>0</v>
      </c>
      <c r="E197" s="1697">
        <f>'Part I-Project Information'!E186</f>
        <v>0</v>
      </c>
      <c r="F197" s="1697">
        <f>'Part I-Project Information'!F186</f>
        <v>0</v>
      </c>
      <c r="G197" s="1697">
        <f>'Part I-Project Information'!G186</f>
        <v>0</v>
      </c>
      <c r="H197" s="1697">
        <f>'Part I-Project Information'!H186</f>
        <v>0</v>
      </c>
      <c r="I197" s="1697">
        <f>'Part I-Project Information'!I186</f>
        <v>0</v>
      </c>
      <c r="J197" s="1697">
        <f>'Part I-Project Information'!J186</f>
        <v>0</v>
      </c>
      <c r="K197" s="1697">
        <f>'Part I-Project Information'!K186</f>
        <v>0</v>
      </c>
      <c r="L197" s="1697">
        <f>'Part I-Project Information'!L186</f>
        <v>0</v>
      </c>
      <c r="M197" s="1697">
        <f>'Part I-Project Information'!M186</f>
        <v>0</v>
      </c>
      <c r="N197" s="1697">
        <f>'Part I-Project Information'!N186</f>
        <v>0</v>
      </c>
      <c r="O197" s="1697">
        <f>'Part I-Project Information'!O186</f>
        <v>0</v>
      </c>
      <c r="P197" s="1697">
        <f>'Part I-Project Information'!P186</f>
        <v>0</v>
      </c>
    </row>
    <row r="204" spans="1:19">
      <c r="A204" s="1622" t="str">
        <f>CONCATENATE("PART TWO - DEVELOPMENT TEAM INFORMATION","  -  ",'Part I-Project Information'!$O$6," ",'Part I-Project Information'!$F$34,", ",'Part I-Project Information'!F241,", ",'Part I-Project Information'!J242," County")</f>
        <v>PART TWO - DEVELOPMENT TEAM INFORMATION  -  2018-013 Tindall Fields III, ,  County</v>
      </c>
      <c r="B204" s="1622"/>
      <c r="C204" s="1622"/>
      <c r="D204" s="1622"/>
      <c r="E204" s="1622"/>
      <c r="F204" s="1622"/>
      <c r="G204" s="1622"/>
      <c r="H204" s="1622"/>
      <c r="I204" s="1622"/>
      <c r="J204" s="1622"/>
      <c r="K204" s="1622"/>
      <c r="L204" s="1622"/>
      <c r="M204" s="1622"/>
      <c r="N204" s="1622"/>
      <c r="O204" s="1622"/>
      <c r="P204" s="1622"/>
      <c r="Q204" s="1622"/>
      <c r="R204" s="1622"/>
      <c r="S204" s="1622"/>
    </row>
    <row r="205" spans="1:19">
      <c r="A205" s="1626" t="s">
        <v>4517</v>
      </c>
      <c r="B205" s="1632"/>
      <c r="C205" s="1632"/>
      <c r="D205" s="1632"/>
      <c r="E205" s="1632"/>
      <c r="F205" s="1632"/>
      <c r="G205" s="1632"/>
      <c r="H205" s="1632"/>
      <c r="I205" s="1632"/>
      <c r="J205" s="1632"/>
      <c r="K205" s="1632"/>
      <c r="L205" s="1632"/>
      <c r="M205" s="1632"/>
      <c r="N205" s="1632"/>
      <c r="O205" s="1632"/>
      <c r="P205" s="1632"/>
      <c r="Q205" s="1632"/>
      <c r="R205" s="1632"/>
      <c r="S205" s="1632"/>
    </row>
    <row r="206" spans="1:19" ht="13.5">
      <c r="A206" s="1622" t="s">
        <v>622</v>
      </c>
      <c r="B206" s="1626" t="s">
        <v>1872</v>
      </c>
      <c r="C206" s="1626"/>
      <c r="D206" s="1625"/>
      <c r="E206" s="1626"/>
      <c r="F206" s="1626"/>
      <c r="G206" s="1626"/>
      <c r="H206" s="1627" t="s">
        <v>4314</v>
      </c>
      <c r="I206" s="1625"/>
      <c r="J206" s="1625"/>
      <c r="K206" s="1625"/>
      <c r="L206" s="1625"/>
      <c r="M206" s="1625"/>
      <c r="N206" s="1625"/>
      <c r="O206" s="1625"/>
      <c r="P206" s="1625"/>
      <c r="Q206" s="1625"/>
      <c r="R206" s="1625"/>
      <c r="S206" s="1625"/>
    </row>
    <row r="207" spans="1:19">
      <c r="A207" s="1622"/>
      <c r="B207" s="1622"/>
      <c r="C207" s="1622"/>
      <c r="D207" s="1626"/>
      <c r="E207" s="1626"/>
      <c r="F207" s="1626"/>
      <c r="G207" s="1626"/>
      <c r="H207" s="1626"/>
      <c r="I207" s="1626"/>
      <c r="J207" s="1626"/>
      <c r="K207" s="1625"/>
      <c r="L207" s="1625"/>
      <c r="M207" s="1625"/>
      <c r="N207" s="1625"/>
      <c r="O207" s="1625"/>
      <c r="P207" s="1625"/>
      <c r="Q207" s="1625"/>
      <c r="R207" s="1625"/>
      <c r="S207" s="1625"/>
    </row>
    <row r="208" spans="1:19">
      <c r="A208" s="1625"/>
      <c r="B208" s="1622" t="s">
        <v>1999</v>
      </c>
      <c r="C208" s="1626" t="s">
        <v>1868</v>
      </c>
      <c r="D208" s="1625"/>
      <c r="E208" s="1625"/>
      <c r="F208" s="1625"/>
      <c r="G208" s="1625"/>
      <c r="H208" s="1625" t="str">
        <f>'Part II-Development Team'!H5</f>
        <v>Tindall Partners IV, L.P.</v>
      </c>
      <c r="I208" s="1625">
        <f>'Part II-Development Team'!I5</f>
        <v>0</v>
      </c>
      <c r="J208" s="1625">
        <f>'Part II-Development Team'!J5</f>
        <v>0</v>
      </c>
      <c r="K208" s="1625">
        <f>'Part II-Development Team'!K5</f>
        <v>0</v>
      </c>
      <c r="L208" s="1625">
        <f>'Part II-Development Team'!L5</f>
        <v>0</v>
      </c>
      <c r="M208" s="1625">
        <f>'Part II-Development Team'!M5</f>
        <v>0</v>
      </c>
      <c r="N208" s="1625">
        <f>'Part II-Development Team'!N5</f>
        <v>0</v>
      </c>
      <c r="O208" s="1633" t="s">
        <v>2005</v>
      </c>
      <c r="P208" s="1633"/>
      <c r="Q208" s="1625" t="str">
        <f>'Part II-Development Team'!Q5</f>
        <v>Michael T. Austin</v>
      </c>
      <c r="R208" s="1625">
        <f>'Part II-Development Team'!R5</f>
        <v>0</v>
      </c>
      <c r="S208" s="1625">
        <f>'Part II-Development Team'!S5</f>
        <v>0</v>
      </c>
    </row>
    <row r="209" spans="1:19">
      <c r="A209" s="1625"/>
      <c r="B209" s="1625"/>
      <c r="C209" s="1625"/>
      <c r="D209" s="1698"/>
      <c r="E209" s="1633" t="s">
        <v>1031</v>
      </c>
      <c r="F209" s="1636"/>
      <c r="G209" s="1625"/>
      <c r="H209" s="1625" t="str">
        <f>'Part II-Development Team'!H6</f>
        <v>2015 Felton Avenue</v>
      </c>
      <c r="I209" s="1625">
        <f>'Part II-Development Team'!I6</f>
        <v>0</v>
      </c>
      <c r="J209" s="1625">
        <f>'Part II-Development Team'!J6</f>
        <v>0</v>
      </c>
      <c r="K209" s="1625">
        <f>'Part II-Development Team'!K6</f>
        <v>0</v>
      </c>
      <c r="L209" s="1625">
        <f>'Part II-Development Team'!L6</f>
        <v>0</v>
      </c>
      <c r="M209" s="1625">
        <f>'Part II-Development Team'!M6</f>
        <v>0</v>
      </c>
      <c r="N209" s="1625">
        <f>'Part II-Development Team'!N6</f>
        <v>0</v>
      </c>
      <c r="O209" s="1633" t="s">
        <v>1760</v>
      </c>
      <c r="P209" s="1625"/>
      <c r="Q209" s="1625" t="str">
        <f>'Part II-Development Team'!Q6</f>
        <v>Principal</v>
      </c>
      <c r="R209" s="1625">
        <f>'Part II-Development Team'!R6</f>
        <v>0</v>
      </c>
      <c r="S209" s="1625">
        <f>'Part II-Development Team'!S6</f>
        <v>0</v>
      </c>
    </row>
    <row r="210" spans="1:19">
      <c r="A210" s="1625"/>
      <c r="B210" s="1625"/>
      <c r="C210" s="1625"/>
      <c r="D210" s="1698"/>
      <c r="E210" s="1633" t="s">
        <v>624</v>
      </c>
      <c r="F210" s="1625"/>
      <c r="G210" s="1625"/>
      <c r="H210" s="1625" t="str">
        <f>'Part II-Development Team'!H7</f>
        <v>Macon</v>
      </c>
      <c r="I210" s="1625">
        <f>'Part II-Development Team'!I7</f>
        <v>0</v>
      </c>
      <c r="J210" s="1625">
        <f>'Part II-Development Team'!J7</f>
        <v>0</v>
      </c>
      <c r="K210" s="1630" t="s">
        <v>770</v>
      </c>
      <c r="L210" s="1625">
        <f>'Part II-Development Team'!L7</f>
        <v>0</v>
      </c>
      <c r="M210" s="1625">
        <f>'Part II-Development Team'!M7</f>
        <v>0</v>
      </c>
      <c r="N210" s="1625">
        <f>'Part II-Development Team'!N7</f>
        <v>0</v>
      </c>
      <c r="O210" s="1633" t="s">
        <v>1734</v>
      </c>
      <c r="P210" s="1625"/>
      <c r="Q210" s="1646">
        <f>'Part II-Development Team'!Q7</f>
        <v>4787525070</v>
      </c>
      <c r="R210" s="1646">
        <f>'Part II-Development Team'!R7</f>
        <v>0</v>
      </c>
      <c r="S210" s="1646">
        <f>'Part II-Development Team'!S7</f>
        <v>0</v>
      </c>
    </row>
    <row r="211" spans="1:19">
      <c r="A211" s="1625"/>
      <c r="B211" s="1625"/>
      <c r="C211" s="1625"/>
      <c r="D211" s="1698"/>
      <c r="E211" s="1633" t="s">
        <v>1812</v>
      </c>
      <c r="F211" s="1625"/>
      <c r="G211" s="1625"/>
      <c r="H211" s="1633" t="str">
        <f>'Part II-Development Team'!H8</f>
        <v>GA</v>
      </c>
      <c r="I211" s="1630" t="s">
        <v>2245</v>
      </c>
      <c r="J211" s="1645">
        <f>'Part II-Development Team'!J8</f>
        <v>312012404</v>
      </c>
      <c r="K211" s="1645">
        <f>'Part II-Development Team'!K8</f>
        <v>0</v>
      </c>
      <c r="L211" s="1625" t="s">
        <v>3714</v>
      </c>
      <c r="M211" s="1625" t="str">
        <f>'Part II-Development Team'!M8</f>
        <v>For Profit</v>
      </c>
      <c r="N211" s="1625">
        <f>'Part II-Development Team'!N8</f>
        <v>0</v>
      </c>
      <c r="O211" s="1633" t="s">
        <v>1995</v>
      </c>
      <c r="P211" s="1625"/>
      <c r="Q211" s="1646">
        <f>'Part II-Development Team'!Q8</f>
        <v>4783207044</v>
      </c>
      <c r="R211" s="1646">
        <f>'Part II-Development Team'!R8</f>
        <v>0</v>
      </c>
      <c r="S211" s="1646">
        <f>'Part II-Development Team'!S8</f>
        <v>0</v>
      </c>
    </row>
    <row r="212" spans="1:19">
      <c r="A212" s="1625"/>
      <c r="B212" s="1625"/>
      <c r="C212" s="1625"/>
      <c r="D212" s="1698"/>
      <c r="E212" s="1633" t="s">
        <v>4315</v>
      </c>
      <c r="F212" s="1625"/>
      <c r="G212" s="1625"/>
      <c r="H212" s="1646">
        <f>'Part II-Development Team'!H9</f>
        <v>4787525070</v>
      </c>
      <c r="I212" s="1646">
        <f>'Part II-Development Team'!I9</f>
        <v>0</v>
      </c>
      <c r="J212" s="1650">
        <f>'Part II-Development Team'!J9</f>
        <v>0</v>
      </c>
      <c r="K212" s="1630" t="s">
        <v>2000</v>
      </c>
      <c r="L212" s="1641" t="str">
        <f>'Part II-Development Team'!L9</f>
        <v>maustin@mcaonhousing.com</v>
      </c>
      <c r="M212" s="1641">
        <f>'Part II-Development Team'!M9</f>
        <v>0</v>
      </c>
      <c r="N212" s="1641">
        <f>'Part II-Development Team'!N9</f>
        <v>0</v>
      </c>
      <c r="O212" s="1641">
        <f>'Part II-Development Team'!O9</f>
        <v>0</v>
      </c>
      <c r="P212" s="1641">
        <f>'Part II-Development Team'!P9</f>
        <v>0</v>
      </c>
      <c r="Q212" s="1641">
        <f>'Part II-Development Team'!Q9</f>
        <v>0</v>
      </c>
      <c r="R212" s="1641">
        <f>'Part II-Development Team'!R9</f>
        <v>0</v>
      </c>
      <c r="S212" s="1641">
        <f>'Part II-Development Team'!S9</f>
        <v>0</v>
      </c>
    </row>
    <row r="213" spans="1:19" ht="13.5">
      <c r="A213" s="1625"/>
      <c r="B213" s="1625"/>
      <c r="C213" s="1625"/>
      <c r="D213" s="1698"/>
      <c r="E213" s="1627" t="s">
        <v>4314</v>
      </c>
      <c r="F213" s="1625"/>
      <c r="G213" s="1625"/>
      <c r="H213" s="1690"/>
      <c r="I213" s="1625"/>
      <c r="J213" s="1625"/>
      <c r="K213" s="1637"/>
      <c r="L213" s="1625"/>
      <c r="M213" s="1625"/>
      <c r="N213" s="1622" t="s">
        <v>4543</v>
      </c>
      <c r="O213" s="1625"/>
      <c r="P213" s="1625"/>
      <c r="Q213" s="1630"/>
      <c r="R213" s="1625"/>
      <c r="S213" s="1625"/>
    </row>
    <row r="214" spans="1:19">
      <c r="A214" s="1625"/>
      <c r="B214" s="1625"/>
      <c r="C214" s="1625"/>
      <c r="D214" s="1699"/>
      <c r="E214" s="1633"/>
      <c r="F214" s="1626"/>
      <c r="G214" s="1626"/>
      <c r="H214" s="1626"/>
      <c r="I214" s="1626"/>
      <c r="J214" s="1626"/>
      <c r="K214" s="1625"/>
      <c r="L214" s="1625"/>
      <c r="M214" s="1625"/>
      <c r="N214" s="1626"/>
      <c r="O214" s="1626"/>
      <c r="P214" s="1626"/>
      <c r="Q214" s="1626"/>
      <c r="R214" s="1626"/>
      <c r="S214" s="1626"/>
    </row>
    <row r="215" spans="1:19" ht="13.5">
      <c r="A215" s="1625"/>
      <c r="B215" s="1675" t="s">
        <v>2001</v>
      </c>
      <c r="C215" s="1626" t="s">
        <v>1869</v>
      </c>
      <c r="D215" s="1625"/>
      <c r="E215" s="1625"/>
      <c r="F215" s="1626"/>
      <c r="G215" s="1626"/>
      <c r="H215" s="1626"/>
      <c r="I215" s="1626"/>
      <c r="J215" s="1625"/>
      <c r="K215" s="1625"/>
      <c r="L215" s="1625"/>
      <c r="M215" s="1625"/>
      <c r="N215" s="1700" t="s">
        <v>1296</v>
      </c>
      <c r="O215" s="1625"/>
      <c r="P215" s="1625"/>
      <c r="Q215" s="1625"/>
      <c r="R215" s="1625"/>
      <c r="S215" s="1625"/>
    </row>
    <row r="216" spans="1:19" ht="13.5">
      <c r="A216" s="1625"/>
      <c r="B216" s="1625"/>
      <c r="C216" s="1701" t="s">
        <v>2002</v>
      </c>
      <c r="D216" s="1675" t="s">
        <v>2003</v>
      </c>
      <c r="E216" s="1625"/>
      <c r="F216" s="1625"/>
      <c r="G216" s="1625"/>
      <c r="H216" s="1625"/>
      <c r="I216" s="1625"/>
      <c r="J216" s="1625"/>
      <c r="K216" s="1625"/>
      <c r="L216" s="1625"/>
      <c r="M216" s="1625"/>
      <c r="N216" s="1637"/>
      <c r="O216" s="1625"/>
      <c r="P216" s="1625"/>
      <c r="Q216" s="1625"/>
      <c r="R216" s="1625"/>
      <c r="S216" s="1625"/>
    </row>
    <row r="217" spans="1:19">
      <c r="A217" s="1625"/>
      <c r="B217" s="1625"/>
      <c r="C217" s="1625"/>
      <c r="D217" s="1622" t="s">
        <v>2132</v>
      </c>
      <c r="E217" s="1625" t="s">
        <v>1870</v>
      </c>
      <c r="F217" s="1625"/>
      <c r="G217" s="1625"/>
      <c r="H217" s="1625" t="str">
        <f>'Part II-Development Team'!H14</f>
        <v>Tindall IV GP, Inc.</v>
      </c>
      <c r="I217" s="1625">
        <f>'Part II-Development Team'!I14</f>
        <v>0</v>
      </c>
      <c r="J217" s="1625">
        <f>'Part II-Development Team'!J14</f>
        <v>0</v>
      </c>
      <c r="K217" s="1625">
        <f>'Part II-Development Team'!K14</f>
        <v>0</v>
      </c>
      <c r="L217" s="1625">
        <f>'Part II-Development Team'!L14</f>
        <v>0</v>
      </c>
      <c r="M217" s="1625">
        <f>'Part II-Development Team'!M14</f>
        <v>0</v>
      </c>
      <c r="N217" s="1625">
        <f>'Part II-Development Team'!N14</f>
        <v>0</v>
      </c>
      <c r="O217" s="1633" t="s">
        <v>2005</v>
      </c>
      <c r="P217" s="1633"/>
      <c r="Q217" s="1625" t="str">
        <f>'Part II-Development Team'!Q14</f>
        <v>Michael T. Austin</v>
      </c>
      <c r="R217" s="1625">
        <f>'Part II-Development Team'!R14</f>
        <v>0</v>
      </c>
      <c r="S217" s="1625">
        <f>'Part II-Development Team'!S14</f>
        <v>0</v>
      </c>
    </row>
    <row r="218" spans="1:19">
      <c r="A218" s="1625"/>
      <c r="B218" s="1625"/>
      <c r="C218" s="1625"/>
      <c r="D218" s="1698"/>
      <c r="E218" s="1633" t="s">
        <v>1031</v>
      </c>
      <c r="F218" s="1636"/>
      <c r="G218" s="1625"/>
      <c r="H218" s="1625" t="str">
        <f>'Part II-Development Team'!H15</f>
        <v>2015 Felton Avenue</v>
      </c>
      <c r="I218" s="1625">
        <f>'Part II-Development Team'!I15</f>
        <v>0</v>
      </c>
      <c r="J218" s="1625">
        <f>'Part II-Development Team'!J15</f>
        <v>0</v>
      </c>
      <c r="K218" s="1625">
        <f>'Part II-Development Team'!K15</f>
        <v>0</v>
      </c>
      <c r="L218" s="1625">
        <f>'Part II-Development Team'!L15</f>
        <v>0</v>
      </c>
      <c r="M218" s="1625">
        <f>'Part II-Development Team'!M15</f>
        <v>0</v>
      </c>
      <c r="N218" s="1625">
        <f>'Part II-Development Team'!N15</f>
        <v>0</v>
      </c>
      <c r="O218" s="1633" t="s">
        <v>1760</v>
      </c>
      <c r="P218" s="1625"/>
      <c r="Q218" s="1625" t="str">
        <f>'Part II-Development Team'!Q15</f>
        <v>Principal</v>
      </c>
      <c r="R218" s="1625">
        <f>'Part II-Development Team'!R15</f>
        <v>0</v>
      </c>
      <c r="S218" s="1625">
        <f>'Part II-Development Team'!S15</f>
        <v>0</v>
      </c>
    </row>
    <row r="219" spans="1:19">
      <c r="A219" s="1625"/>
      <c r="B219" s="1625"/>
      <c r="C219" s="1625"/>
      <c r="D219" s="1698"/>
      <c r="E219" s="1633" t="s">
        <v>624</v>
      </c>
      <c r="F219" s="1625"/>
      <c r="G219" s="1625"/>
      <c r="H219" s="1625" t="str">
        <f>'Part II-Development Team'!H16</f>
        <v>Macon</v>
      </c>
      <c r="I219" s="1625">
        <f>'Part II-Development Team'!I16</f>
        <v>0</v>
      </c>
      <c r="J219" s="1625">
        <f>'Part II-Development Team'!J16</f>
        <v>0</v>
      </c>
      <c r="K219" s="1630" t="s">
        <v>2722</v>
      </c>
      <c r="L219" s="1625">
        <f>'Part II-Development Team'!L16</f>
        <v>0</v>
      </c>
      <c r="M219" s="1625">
        <f>'Part II-Development Team'!M16</f>
        <v>0</v>
      </c>
      <c r="N219" s="1625">
        <f>'Part II-Development Team'!N16</f>
        <v>0</v>
      </c>
      <c r="O219" s="1633" t="s">
        <v>1734</v>
      </c>
      <c r="P219" s="1625"/>
      <c r="Q219" s="1646">
        <f>'Part II-Development Team'!Q16</f>
        <v>4787525070</v>
      </c>
      <c r="R219" s="1646">
        <f>'Part II-Development Team'!R16</f>
        <v>0</v>
      </c>
      <c r="S219" s="1646">
        <f>'Part II-Development Team'!S16</f>
        <v>0</v>
      </c>
    </row>
    <row r="220" spans="1:19">
      <c r="A220" s="1625"/>
      <c r="B220" s="1625"/>
      <c r="C220" s="1625"/>
      <c r="D220" s="1622"/>
      <c r="E220" s="1633" t="s">
        <v>1812</v>
      </c>
      <c r="F220" s="1625"/>
      <c r="G220" s="1625"/>
      <c r="H220" s="1633" t="str">
        <f>'Part II-Development Team'!H17</f>
        <v>GA</v>
      </c>
      <c r="I220" s="1625"/>
      <c r="J220" s="1625"/>
      <c r="K220" s="1630" t="s">
        <v>2245</v>
      </c>
      <c r="L220" s="1645">
        <f>'Part II-Development Team'!L17</f>
        <v>312012404</v>
      </c>
      <c r="M220" s="1645">
        <f>'Part II-Development Team'!M17</f>
        <v>0</v>
      </c>
      <c r="N220" s="1625"/>
      <c r="O220" s="1633" t="s">
        <v>1995</v>
      </c>
      <c r="P220" s="1625"/>
      <c r="Q220" s="1646">
        <f>'Part II-Development Team'!Q17</f>
        <v>4783207044</v>
      </c>
      <c r="R220" s="1646">
        <f>'Part II-Development Team'!R17</f>
        <v>0</v>
      </c>
      <c r="S220" s="1646">
        <f>'Part II-Development Team'!S17</f>
        <v>0</v>
      </c>
    </row>
    <row r="221" spans="1:19">
      <c r="A221" s="1625"/>
      <c r="B221" s="1625"/>
      <c r="C221" s="1625"/>
      <c r="D221" s="1698"/>
      <c r="E221" s="1633" t="s">
        <v>4315</v>
      </c>
      <c r="F221" s="1625"/>
      <c r="G221" s="1625"/>
      <c r="H221" s="1646">
        <f>'Part II-Development Team'!H18</f>
        <v>4787525070</v>
      </c>
      <c r="I221" s="1646">
        <f>'Part II-Development Team'!I18</f>
        <v>0</v>
      </c>
      <c r="J221" s="1650">
        <f>'Part II-Development Team'!J18</f>
        <v>0</v>
      </c>
      <c r="K221" s="1630" t="s">
        <v>2000</v>
      </c>
      <c r="L221" s="1641" t="str">
        <f>'Part II-Development Team'!L18</f>
        <v>maustin@maconhousing.com</v>
      </c>
      <c r="M221" s="1641">
        <f>'Part II-Development Team'!M18</f>
        <v>0</v>
      </c>
      <c r="N221" s="1641">
        <f>'Part II-Development Team'!N18</f>
        <v>0</v>
      </c>
      <c r="O221" s="1641">
        <f>'Part II-Development Team'!O18</f>
        <v>0</v>
      </c>
      <c r="P221" s="1641">
        <f>'Part II-Development Team'!P18</f>
        <v>0</v>
      </c>
      <c r="Q221" s="1641">
        <f>'Part II-Development Team'!Q18</f>
        <v>0</v>
      </c>
      <c r="R221" s="1641">
        <f>'Part II-Development Team'!R18</f>
        <v>0</v>
      </c>
      <c r="S221" s="1641">
        <f>'Part II-Development Team'!S18</f>
        <v>0</v>
      </c>
    </row>
    <row r="222" spans="1:19">
      <c r="A222" s="1632"/>
      <c r="B222" s="1632"/>
      <c r="C222" s="1632"/>
      <c r="D222" s="1673"/>
      <c r="E222" s="1632"/>
      <c r="F222" s="1632"/>
      <c r="G222" s="1632"/>
      <c r="H222" s="1646"/>
      <c r="I222" s="1646"/>
      <c r="J222" s="1646"/>
      <c r="K222" s="1630"/>
      <c r="L222" s="1646"/>
      <c r="M222" s="1646"/>
      <c r="N222" s="1630"/>
      <c r="O222" s="1646"/>
      <c r="P222" s="1646"/>
      <c r="Q222" s="1630"/>
      <c r="R222" s="1646"/>
      <c r="S222" s="1646"/>
    </row>
    <row r="223" spans="1:19">
      <c r="A223" s="1625"/>
      <c r="B223" s="1625"/>
      <c r="C223" s="1625"/>
      <c r="D223" s="1622" t="s">
        <v>2133</v>
      </c>
      <c r="E223" s="1625" t="s">
        <v>1871</v>
      </c>
      <c r="F223" s="1625"/>
      <c r="G223" s="1625"/>
      <c r="H223" s="1625">
        <f>'Part II-Development Team'!H20</f>
        <v>0</v>
      </c>
      <c r="I223" s="1625">
        <f>'Part II-Development Team'!I20</f>
        <v>0</v>
      </c>
      <c r="J223" s="1625">
        <f>'Part II-Development Team'!J20</f>
        <v>0</v>
      </c>
      <c r="K223" s="1625">
        <f>'Part II-Development Team'!K20</f>
        <v>0</v>
      </c>
      <c r="L223" s="1625">
        <f>'Part II-Development Team'!L20</f>
        <v>0</v>
      </c>
      <c r="M223" s="1625">
        <f>'Part II-Development Team'!M20</f>
        <v>0</v>
      </c>
      <c r="N223" s="1625">
        <f>'Part II-Development Team'!N20</f>
        <v>0</v>
      </c>
      <c r="O223" s="1633" t="s">
        <v>2005</v>
      </c>
      <c r="P223" s="1633"/>
      <c r="Q223" s="1625">
        <f>'Part II-Development Team'!Q20</f>
        <v>0</v>
      </c>
      <c r="R223" s="1625">
        <f>'Part II-Development Team'!R20</f>
        <v>0</v>
      </c>
      <c r="S223" s="1625">
        <f>'Part II-Development Team'!S20</f>
        <v>0</v>
      </c>
    </row>
    <row r="224" spans="1:19">
      <c r="A224" s="1625"/>
      <c r="B224" s="1625"/>
      <c r="C224" s="1625"/>
      <c r="D224" s="1698"/>
      <c r="E224" s="1633" t="s">
        <v>1031</v>
      </c>
      <c r="F224" s="1636"/>
      <c r="G224" s="1625"/>
      <c r="H224" s="1625">
        <f>'Part II-Development Team'!H21</f>
        <v>0</v>
      </c>
      <c r="I224" s="1625">
        <f>'Part II-Development Team'!I21</f>
        <v>0</v>
      </c>
      <c r="J224" s="1625">
        <f>'Part II-Development Team'!J21</f>
        <v>0</v>
      </c>
      <c r="K224" s="1625">
        <f>'Part II-Development Team'!K21</f>
        <v>0</v>
      </c>
      <c r="L224" s="1625">
        <f>'Part II-Development Team'!L21</f>
        <v>0</v>
      </c>
      <c r="M224" s="1625">
        <f>'Part II-Development Team'!M21</f>
        <v>0</v>
      </c>
      <c r="N224" s="1625">
        <f>'Part II-Development Team'!N21</f>
        <v>0</v>
      </c>
      <c r="O224" s="1633" t="s">
        <v>1760</v>
      </c>
      <c r="P224" s="1625"/>
      <c r="Q224" s="1625">
        <f>'Part II-Development Team'!Q21</f>
        <v>0</v>
      </c>
      <c r="R224" s="1625">
        <f>'Part II-Development Team'!R21</f>
        <v>0</v>
      </c>
      <c r="S224" s="1625">
        <f>'Part II-Development Team'!S21</f>
        <v>0</v>
      </c>
    </row>
    <row r="225" spans="1:19">
      <c r="A225" s="1625"/>
      <c r="B225" s="1625"/>
      <c r="C225" s="1625"/>
      <c r="D225" s="1698"/>
      <c r="E225" s="1633" t="s">
        <v>624</v>
      </c>
      <c r="F225" s="1625"/>
      <c r="G225" s="1625"/>
      <c r="H225" s="1625">
        <f>'Part II-Development Team'!H22</f>
        <v>0</v>
      </c>
      <c r="I225" s="1625">
        <f>'Part II-Development Team'!I22</f>
        <v>0</v>
      </c>
      <c r="J225" s="1625">
        <f>'Part II-Development Team'!J22</f>
        <v>0</v>
      </c>
      <c r="K225" s="1630" t="s">
        <v>2722</v>
      </c>
      <c r="L225" s="1625">
        <f>'Part II-Development Team'!L22</f>
        <v>0</v>
      </c>
      <c r="M225" s="1625">
        <f>'Part II-Development Team'!M22</f>
        <v>0</v>
      </c>
      <c r="N225" s="1625">
        <f>'Part II-Development Team'!N22</f>
        <v>0</v>
      </c>
      <c r="O225" s="1633" t="s">
        <v>1734</v>
      </c>
      <c r="P225" s="1625"/>
      <c r="Q225" s="1646">
        <f>'Part II-Development Team'!Q22</f>
        <v>0</v>
      </c>
      <c r="R225" s="1646">
        <f>'Part II-Development Team'!R22</f>
        <v>0</v>
      </c>
      <c r="S225" s="1646">
        <f>'Part II-Development Team'!S22</f>
        <v>0</v>
      </c>
    </row>
    <row r="226" spans="1:19">
      <c r="A226" s="1625"/>
      <c r="B226" s="1625"/>
      <c r="C226" s="1625"/>
      <c r="D226" s="1625"/>
      <c r="E226" s="1633" t="s">
        <v>1812</v>
      </c>
      <c r="F226" s="1625"/>
      <c r="G226" s="1625"/>
      <c r="H226" s="1633">
        <f>'Part II-Development Team'!H23</f>
        <v>0</v>
      </c>
      <c r="I226" s="1625"/>
      <c r="J226" s="1625"/>
      <c r="K226" s="1630" t="s">
        <v>2245</v>
      </c>
      <c r="L226" s="1645">
        <f>'Part II-Development Team'!L23</f>
        <v>0</v>
      </c>
      <c r="M226" s="1645">
        <f>'Part II-Development Team'!M23</f>
        <v>0</v>
      </c>
      <c r="N226" s="1625"/>
      <c r="O226" s="1633" t="s">
        <v>1995</v>
      </c>
      <c r="P226" s="1625"/>
      <c r="Q226" s="1646">
        <f>'Part II-Development Team'!Q23</f>
        <v>0</v>
      </c>
      <c r="R226" s="1646">
        <f>'Part II-Development Team'!R23</f>
        <v>0</v>
      </c>
      <c r="S226" s="1646">
        <f>'Part II-Development Team'!S23</f>
        <v>0</v>
      </c>
    </row>
    <row r="227" spans="1:19">
      <c r="A227" s="1625"/>
      <c r="B227" s="1625"/>
      <c r="C227" s="1625"/>
      <c r="D227" s="1698"/>
      <c r="E227" s="1633" t="s">
        <v>4315</v>
      </c>
      <c r="F227" s="1625"/>
      <c r="G227" s="1625"/>
      <c r="H227" s="1646">
        <f>'Part II-Development Team'!H24</f>
        <v>0</v>
      </c>
      <c r="I227" s="1646">
        <f>'Part II-Development Team'!I24</f>
        <v>0</v>
      </c>
      <c r="J227" s="1650">
        <f>'Part II-Development Team'!J24</f>
        <v>0</v>
      </c>
      <c r="K227" s="1630" t="s">
        <v>2000</v>
      </c>
      <c r="L227" s="1641">
        <f>'Part II-Development Team'!L24</f>
        <v>0</v>
      </c>
      <c r="M227" s="1641">
        <f>'Part II-Development Team'!M24</f>
        <v>0</v>
      </c>
      <c r="N227" s="1641">
        <f>'Part II-Development Team'!N24</f>
        <v>0</v>
      </c>
      <c r="O227" s="1641">
        <f>'Part II-Development Team'!O24</f>
        <v>0</v>
      </c>
      <c r="P227" s="1641">
        <f>'Part II-Development Team'!P24</f>
        <v>0</v>
      </c>
      <c r="Q227" s="1641">
        <f>'Part II-Development Team'!Q24</f>
        <v>0</v>
      </c>
      <c r="R227" s="1641">
        <f>'Part II-Development Team'!R24</f>
        <v>0</v>
      </c>
      <c r="S227" s="1641">
        <f>'Part II-Development Team'!S24</f>
        <v>0</v>
      </c>
    </row>
    <row r="228" spans="1:19">
      <c r="A228" s="1625"/>
      <c r="B228" s="1625"/>
      <c r="C228" s="1625"/>
      <c r="D228" s="1698"/>
      <c r="E228" s="1625"/>
      <c r="F228" s="1625"/>
      <c r="G228" s="1633"/>
      <c r="H228" s="1646"/>
      <c r="I228" s="1646"/>
      <c r="J228" s="1646"/>
      <c r="K228" s="1630"/>
      <c r="L228" s="1646"/>
      <c r="M228" s="1646"/>
      <c r="N228" s="1630"/>
      <c r="O228" s="1646"/>
      <c r="P228" s="1646"/>
      <c r="Q228" s="1630"/>
      <c r="R228" s="1646"/>
      <c r="S228" s="1646"/>
    </row>
    <row r="229" spans="1:19">
      <c r="A229" s="1625"/>
      <c r="B229" s="1625"/>
      <c r="C229" s="1625"/>
      <c r="D229" s="1622" t="s">
        <v>1747</v>
      </c>
      <c r="E229" s="1625" t="s">
        <v>1871</v>
      </c>
      <c r="F229" s="1625"/>
      <c r="G229" s="1625"/>
      <c r="H229" s="1625">
        <f>'Part II-Development Team'!H26</f>
        <v>0</v>
      </c>
      <c r="I229" s="1625">
        <f>'Part II-Development Team'!I26</f>
        <v>0</v>
      </c>
      <c r="J229" s="1625">
        <f>'Part II-Development Team'!J26</f>
        <v>0</v>
      </c>
      <c r="K229" s="1625">
        <f>'Part II-Development Team'!K26</f>
        <v>0</v>
      </c>
      <c r="L229" s="1625">
        <f>'Part II-Development Team'!L26</f>
        <v>0</v>
      </c>
      <c r="M229" s="1625">
        <f>'Part II-Development Team'!M26</f>
        <v>0</v>
      </c>
      <c r="N229" s="1625">
        <f>'Part II-Development Team'!N26</f>
        <v>0</v>
      </c>
      <c r="O229" s="1633" t="s">
        <v>2005</v>
      </c>
      <c r="P229" s="1633"/>
      <c r="Q229" s="1625">
        <f>'Part II-Development Team'!Q26</f>
        <v>0</v>
      </c>
      <c r="R229" s="1625">
        <f>'Part II-Development Team'!R26</f>
        <v>0</v>
      </c>
      <c r="S229" s="1625">
        <f>'Part II-Development Team'!S26</f>
        <v>0</v>
      </c>
    </row>
    <row r="230" spans="1:19">
      <c r="A230" s="1625"/>
      <c r="B230" s="1625"/>
      <c r="C230" s="1625"/>
      <c r="D230" s="1698"/>
      <c r="E230" s="1633" t="s">
        <v>1031</v>
      </c>
      <c r="F230" s="1636"/>
      <c r="G230" s="1625"/>
      <c r="H230" s="1625">
        <f>'Part II-Development Team'!H27</f>
        <v>0</v>
      </c>
      <c r="I230" s="1625">
        <f>'Part II-Development Team'!I27</f>
        <v>0</v>
      </c>
      <c r="J230" s="1625">
        <f>'Part II-Development Team'!J27</f>
        <v>0</v>
      </c>
      <c r="K230" s="1625">
        <f>'Part II-Development Team'!K27</f>
        <v>0</v>
      </c>
      <c r="L230" s="1625">
        <f>'Part II-Development Team'!L27</f>
        <v>0</v>
      </c>
      <c r="M230" s="1625">
        <f>'Part II-Development Team'!M27</f>
        <v>0</v>
      </c>
      <c r="N230" s="1625">
        <f>'Part II-Development Team'!N27</f>
        <v>0</v>
      </c>
      <c r="O230" s="1633" t="s">
        <v>1760</v>
      </c>
      <c r="P230" s="1625"/>
      <c r="Q230" s="1625">
        <f>'Part II-Development Team'!Q27</f>
        <v>0</v>
      </c>
      <c r="R230" s="1625">
        <f>'Part II-Development Team'!R27</f>
        <v>0</v>
      </c>
      <c r="S230" s="1625">
        <f>'Part II-Development Team'!S27</f>
        <v>0</v>
      </c>
    </row>
    <row r="231" spans="1:19">
      <c r="A231" s="1625"/>
      <c r="B231" s="1625"/>
      <c r="C231" s="1625"/>
      <c r="D231" s="1698"/>
      <c r="E231" s="1633" t="s">
        <v>624</v>
      </c>
      <c r="F231" s="1625"/>
      <c r="G231" s="1625"/>
      <c r="H231" s="1625">
        <f>'Part II-Development Team'!H28</f>
        <v>0</v>
      </c>
      <c r="I231" s="1625">
        <f>'Part II-Development Team'!I28</f>
        <v>0</v>
      </c>
      <c r="J231" s="1625">
        <f>'Part II-Development Team'!J28</f>
        <v>0</v>
      </c>
      <c r="K231" s="1630" t="s">
        <v>2722</v>
      </c>
      <c r="L231" s="1625">
        <f>'Part II-Development Team'!L28</f>
        <v>0</v>
      </c>
      <c r="M231" s="1625">
        <f>'Part II-Development Team'!M28</f>
        <v>0</v>
      </c>
      <c r="N231" s="1625">
        <f>'Part II-Development Team'!N28</f>
        <v>0</v>
      </c>
      <c r="O231" s="1633" t="s">
        <v>1734</v>
      </c>
      <c r="P231" s="1625"/>
      <c r="Q231" s="1646">
        <f>'Part II-Development Team'!Q28</f>
        <v>0</v>
      </c>
      <c r="R231" s="1646">
        <f>'Part II-Development Team'!R28</f>
        <v>0</v>
      </c>
      <c r="S231" s="1646">
        <f>'Part II-Development Team'!S28</f>
        <v>0</v>
      </c>
    </row>
    <row r="232" spans="1:19">
      <c r="A232" s="1625"/>
      <c r="B232" s="1625"/>
      <c r="C232" s="1625"/>
      <c r="D232" s="1625"/>
      <c r="E232" s="1633" t="s">
        <v>1812</v>
      </c>
      <c r="F232" s="1625"/>
      <c r="G232" s="1625"/>
      <c r="H232" s="1633">
        <f>'Part II-Development Team'!H29</f>
        <v>0</v>
      </c>
      <c r="I232" s="1625"/>
      <c r="J232" s="1625"/>
      <c r="K232" s="1630" t="s">
        <v>2245</v>
      </c>
      <c r="L232" s="1645">
        <f>'Part II-Development Team'!L29</f>
        <v>0</v>
      </c>
      <c r="M232" s="1645">
        <f>'Part II-Development Team'!M29</f>
        <v>0</v>
      </c>
      <c r="N232" s="1625"/>
      <c r="O232" s="1633" t="s">
        <v>1995</v>
      </c>
      <c r="P232" s="1625"/>
      <c r="Q232" s="1646">
        <f>'Part II-Development Team'!Q29</f>
        <v>0</v>
      </c>
      <c r="R232" s="1646">
        <f>'Part II-Development Team'!R29</f>
        <v>0</v>
      </c>
      <c r="S232" s="1646">
        <f>'Part II-Development Team'!S29</f>
        <v>0</v>
      </c>
    </row>
    <row r="233" spans="1:19">
      <c r="A233" s="1625"/>
      <c r="B233" s="1625"/>
      <c r="C233" s="1625"/>
      <c r="D233" s="1698"/>
      <c r="E233" s="1633" t="s">
        <v>4315</v>
      </c>
      <c r="F233" s="1625"/>
      <c r="G233" s="1625"/>
      <c r="H233" s="1646">
        <f>'Part II-Development Team'!H30</f>
        <v>0</v>
      </c>
      <c r="I233" s="1646">
        <f>'Part II-Development Team'!I30</f>
        <v>0</v>
      </c>
      <c r="J233" s="1650">
        <f>'Part II-Development Team'!J30</f>
        <v>0</v>
      </c>
      <c r="K233" s="1630" t="s">
        <v>2000</v>
      </c>
      <c r="L233" s="1641">
        <f>'Part II-Development Team'!L30</f>
        <v>0</v>
      </c>
      <c r="M233" s="1641">
        <f>'Part II-Development Team'!M30</f>
        <v>0</v>
      </c>
      <c r="N233" s="1641">
        <f>'Part II-Development Team'!N30</f>
        <v>0</v>
      </c>
      <c r="O233" s="1641">
        <f>'Part II-Development Team'!O30</f>
        <v>0</v>
      </c>
      <c r="P233" s="1641">
        <f>'Part II-Development Team'!P30</f>
        <v>0</v>
      </c>
      <c r="Q233" s="1641">
        <f>'Part II-Development Team'!Q30</f>
        <v>0</v>
      </c>
      <c r="R233" s="1641">
        <f>'Part II-Development Team'!R30</f>
        <v>0</v>
      </c>
      <c r="S233" s="1641">
        <f>'Part II-Development Team'!S30</f>
        <v>0</v>
      </c>
    </row>
    <row r="234" spans="1:19">
      <c r="A234" s="1632"/>
      <c r="B234" s="1632"/>
      <c r="C234" s="1632"/>
      <c r="D234" s="1632"/>
      <c r="E234" s="1632"/>
      <c r="F234" s="1632"/>
      <c r="G234" s="1632"/>
      <c r="H234" s="1632"/>
      <c r="I234" s="1632"/>
      <c r="J234" s="1632"/>
      <c r="K234" s="1632"/>
      <c r="L234" s="1632"/>
      <c r="M234" s="1632"/>
      <c r="N234" s="1632"/>
      <c r="O234" s="1632"/>
      <c r="P234" s="1632"/>
      <c r="Q234" s="1632"/>
      <c r="R234" s="1632"/>
      <c r="S234" s="1632"/>
    </row>
    <row r="235" spans="1:19" ht="13.5">
      <c r="A235" s="1625"/>
      <c r="B235" s="1625"/>
      <c r="C235" s="1701" t="s">
        <v>2004</v>
      </c>
      <c r="D235" s="1675" t="s">
        <v>1873</v>
      </c>
      <c r="E235" s="1625"/>
      <c r="F235" s="1625"/>
      <c r="G235" s="1625"/>
      <c r="H235" s="1625"/>
      <c r="I235" s="1625"/>
      <c r="J235" s="1625"/>
      <c r="K235" s="1627" t="s">
        <v>4314</v>
      </c>
      <c r="L235" s="1625"/>
      <c r="M235" s="1625"/>
      <c r="N235" s="1625"/>
      <c r="O235" s="1625"/>
      <c r="P235" s="1625"/>
      <c r="Q235" s="1625"/>
      <c r="R235" s="1625"/>
      <c r="S235" s="1625"/>
    </row>
    <row r="236" spans="1:19">
      <c r="A236" s="1625"/>
      <c r="B236" s="1625"/>
      <c r="C236" s="1625"/>
      <c r="D236" s="1622" t="s">
        <v>2132</v>
      </c>
      <c r="E236" s="1625" t="s">
        <v>758</v>
      </c>
      <c r="F236" s="1625"/>
      <c r="G236" s="1625"/>
      <c r="H236" s="1625" t="str">
        <f>'Part II-Development Team'!H33</f>
        <v>Wells Fargo Bank, N.A. (Proposed)</v>
      </c>
      <c r="I236" s="1625">
        <f>'Part II-Development Team'!I33</f>
        <v>0</v>
      </c>
      <c r="J236" s="1625">
        <f>'Part II-Development Team'!J33</f>
        <v>0</v>
      </c>
      <c r="K236" s="1625">
        <f>'Part II-Development Team'!K33</f>
        <v>0</v>
      </c>
      <c r="L236" s="1625">
        <f>'Part II-Development Team'!L33</f>
        <v>0</v>
      </c>
      <c r="M236" s="1625">
        <f>'Part II-Development Team'!M33</f>
        <v>0</v>
      </c>
      <c r="N236" s="1625">
        <f>'Part II-Development Team'!N33</f>
        <v>0</v>
      </c>
      <c r="O236" s="1633" t="s">
        <v>2005</v>
      </c>
      <c r="P236" s="1633"/>
      <c r="Q236" s="1625" t="str">
        <f>'Part II-Development Team'!Q33</f>
        <v>J. Frederick Davis, III</v>
      </c>
      <c r="R236" s="1625">
        <f>'Part II-Development Team'!R33</f>
        <v>0</v>
      </c>
      <c r="S236" s="1625">
        <f>'Part II-Development Team'!S33</f>
        <v>0</v>
      </c>
    </row>
    <row r="237" spans="1:19">
      <c r="A237" s="1625"/>
      <c r="B237" s="1625"/>
      <c r="C237" s="1625"/>
      <c r="D237" s="1698"/>
      <c r="E237" s="1633" t="s">
        <v>1031</v>
      </c>
      <c r="F237" s="1636"/>
      <c r="G237" s="1625"/>
      <c r="H237" s="1625" t="str">
        <f>'Part II-Development Team'!H34</f>
        <v>301 South College St.</v>
      </c>
      <c r="I237" s="1625">
        <f>'Part II-Development Team'!I34</f>
        <v>0</v>
      </c>
      <c r="J237" s="1625">
        <f>'Part II-Development Team'!J34</f>
        <v>0</v>
      </c>
      <c r="K237" s="1625">
        <f>'Part II-Development Team'!K34</f>
        <v>0</v>
      </c>
      <c r="L237" s="1625">
        <f>'Part II-Development Team'!L34</f>
        <v>0</v>
      </c>
      <c r="M237" s="1625">
        <f>'Part II-Development Team'!M34</f>
        <v>0</v>
      </c>
      <c r="N237" s="1625">
        <f>'Part II-Development Team'!N34</f>
        <v>0</v>
      </c>
      <c r="O237" s="1633" t="s">
        <v>1760</v>
      </c>
      <c r="P237" s="1625"/>
      <c r="Q237" s="1625" t="str">
        <f>'Part II-Development Team'!Q34</f>
        <v>Senior Vice President</v>
      </c>
      <c r="R237" s="1625">
        <f>'Part II-Development Team'!R34</f>
        <v>0</v>
      </c>
      <c r="S237" s="1625">
        <f>'Part II-Development Team'!S34</f>
        <v>0</v>
      </c>
    </row>
    <row r="238" spans="1:19">
      <c r="A238" s="1625"/>
      <c r="B238" s="1625"/>
      <c r="C238" s="1625"/>
      <c r="D238" s="1698"/>
      <c r="E238" s="1633" t="s">
        <v>624</v>
      </c>
      <c r="F238" s="1625"/>
      <c r="G238" s="1625"/>
      <c r="H238" s="1625" t="str">
        <f>'Part II-Development Team'!H35</f>
        <v>Charlotte</v>
      </c>
      <c r="I238" s="1625">
        <f>'Part II-Development Team'!I35</f>
        <v>0</v>
      </c>
      <c r="J238" s="1625">
        <f>'Part II-Development Team'!J35</f>
        <v>0</v>
      </c>
      <c r="K238" s="1630" t="s">
        <v>2722</v>
      </c>
      <c r="L238" s="1625" t="str">
        <f>'Part II-Development Team'!L35</f>
        <v>www.wellsfargo.com</v>
      </c>
      <c r="M238" s="1625">
        <f>'Part II-Development Team'!M35</f>
        <v>0</v>
      </c>
      <c r="N238" s="1625">
        <f>'Part II-Development Team'!N35</f>
        <v>0</v>
      </c>
      <c r="O238" s="1633" t="s">
        <v>1734</v>
      </c>
      <c r="P238" s="1625"/>
      <c r="Q238" s="1646">
        <f>'Part II-Development Team'!Q35</f>
        <v>7043839705</v>
      </c>
      <c r="R238" s="1646">
        <f>'Part II-Development Team'!R35</f>
        <v>0</v>
      </c>
      <c r="S238" s="1646">
        <f>'Part II-Development Team'!S35</f>
        <v>0</v>
      </c>
    </row>
    <row r="239" spans="1:19">
      <c r="A239" s="1625"/>
      <c r="B239" s="1625"/>
      <c r="C239" s="1625"/>
      <c r="D239" s="1625"/>
      <c r="E239" s="1633" t="s">
        <v>1812</v>
      </c>
      <c r="F239" s="1625"/>
      <c r="G239" s="1625"/>
      <c r="H239" s="1633" t="str">
        <f>'Part II-Development Team'!H36</f>
        <v>NC</v>
      </c>
      <c r="I239" s="1625"/>
      <c r="J239" s="1625"/>
      <c r="K239" s="1630" t="s">
        <v>2245</v>
      </c>
      <c r="L239" s="1645">
        <f>'Part II-Development Team'!L36</f>
        <v>282880000</v>
      </c>
      <c r="M239" s="1645">
        <f>'Part II-Development Team'!M36</f>
        <v>0</v>
      </c>
      <c r="N239" s="1625"/>
      <c r="O239" s="1633" t="s">
        <v>1995</v>
      </c>
      <c r="P239" s="1625"/>
      <c r="Q239" s="1646">
        <f>'Part II-Development Team'!Q36</f>
        <v>7046079795</v>
      </c>
      <c r="R239" s="1646">
        <f>'Part II-Development Team'!R36</f>
        <v>0</v>
      </c>
      <c r="S239" s="1646">
        <f>'Part II-Development Team'!S36</f>
        <v>0</v>
      </c>
    </row>
    <row r="240" spans="1:19">
      <c r="A240" s="1625"/>
      <c r="B240" s="1625"/>
      <c r="C240" s="1625"/>
      <c r="D240" s="1698"/>
      <c r="E240" s="1633" t="s">
        <v>4315</v>
      </c>
      <c r="F240" s="1625"/>
      <c r="G240" s="1625"/>
      <c r="H240" s="1646">
        <f>'Part II-Development Team'!H37</f>
        <v>7043839705</v>
      </c>
      <c r="I240" s="1646">
        <f>'Part II-Development Team'!I37</f>
        <v>0</v>
      </c>
      <c r="J240" s="1650">
        <f>'Part II-Development Team'!J37</f>
        <v>0</v>
      </c>
      <c r="K240" s="1630" t="s">
        <v>2000</v>
      </c>
      <c r="L240" s="1641" t="str">
        <f>'Part II-Development Team'!L37</f>
        <v>rick.davis@wellsfargo.com</v>
      </c>
      <c r="M240" s="1641">
        <f>'Part II-Development Team'!M37</f>
        <v>0</v>
      </c>
      <c r="N240" s="1641">
        <f>'Part II-Development Team'!N37</f>
        <v>0</v>
      </c>
      <c r="O240" s="1641">
        <f>'Part II-Development Team'!O37</f>
        <v>0</v>
      </c>
      <c r="P240" s="1641">
        <f>'Part II-Development Team'!P37</f>
        <v>0</v>
      </c>
      <c r="Q240" s="1641">
        <f>'Part II-Development Team'!Q37</f>
        <v>0</v>
      </c>
      <c r="R240" s="1641">
        <f>'Part II-Development Team'!R37</f>
        <v>0</v>
      </c>
      <c r="S240" s="1641">
        <f>'Part II-Development Team'!S37</f>
        <v>0</v>
      </c>
    </row>
    <row r="241" spans="1:19">
      <c r="A241" s="1632"/>
      <c r="B241" s="1632"/>
      <c r="C241" s="1632"/>
      <c r="D241" s="1632"/>
      <c r="E241" s="1632"/>
      <c r="F241" s="1632"/>
      <c r="G241" s="1632"/>
      <c r="H241" s="1646"/>
      <c r="I241" s="1646"/>
      <c r="J241" s="1646"/>
      <c r="K241" s="1630"/>
      <c r="L241" s="1646"/>
      <c r="M241" s="1646"/>
      <c r="N241" s="1630"/>
      <c r="O241" s="1646"/>
      <c r="P241" s="1646"/>
      <c r="Q241" s="1630"/>
      <c r="R241" s="1646"/>
      <c r="S241" s="1646"/>
    </row>
    <row r="242" spans="1:19">
      <c r="A242" s="1625"/>
      <c r="B242" s="1625"/>
      <c r="C242" s="1625"/>
      <c r="D242" s="1622" t="s">
        <v>2133</v>
      </c>
      <c r="E242" s="1625" t="s">
        <v>759</v>
      </c>
      <c r="F242" s="1622"/>
      <c r="G242" s="1625"/>
      <c r="H242" s="1625" t="str">
        <f>'Part II-Development Team'!H39</f>
        <v>Wells Fargo Bank, N.A. (Proposed)</v>
      </c>
      <c r="I242" s="1625">
        <f>'Part II-Development Team'!I39</f>
        <v>0</v>
      </c>
      <c r="J242" s="1625">
        <f>'Part II-Development Team'!J39</f>
        <v>0</v>
      </c>
      <c r="K242" s="1625">
        <f>'Part II-Development Team'!K39</f>
        <v>0</v>
      </c>
      <c r="L242" s="1625">
        <f>'Part II-Development Team'!L39</f>
        <v>0</v>
      </c>
      <c r="M242" s="1625">
        <f>'Part II-Development Team'!M39</f>
        <v>0</v>
      </c>
      <c r="N242" s="1625">
        <f>'Part II-Development Team'!N39</f>
        <v>0</v>
      </c>
      <c r="O242" s="1633" t="s">
        <v>2005</v>
      </c>
      <c r="P242" s="1633"/>
      <c r="Q242" s="1625" t="str">
        <f>'Part II-Development Team'!Q39</f>
        <v>J. Frederick Davis, III</v>
      </c>
      <c r="R242" s="1625">
        <f>'Part II-Development Team'!R39</f>
        <v>0</v>
      </c>
      <c r="S242" s="1625">
        <f>'Part II-Development Team'!S39</f>
        <v>0</v>
      </c>
    </row>
    <row r="243" spans="1:19">
      <c r="A243" s="1625"/>
      <c r="B243" s="1625"/>
      <c r="C243" s="1625"/>
      <c r="D243" s="1698"/>
      <c r="E243" s="1633" t="s">
        <v>1031</v>
      </c>
      <c r="F243" s="1636"/>
      <c r="G243" s="1625"/>
      <c r="H243" s="1625" t="str">
        <f>'Part II-Development Team'!H40</f>
        <v>301 South College St.</v>
      </c>
      <c r="I243" s="1625">
        <f>'Part II-Development Team'!I40</f>
        <v>0</v>
      </c>
      <c r="J243" s="1625">
        <f>'Part II-Development Team'!J40</f>
        <v>0</v>
      </c>
      <c r="K243" s="1625">
        <f>'Part II-Development Team'!K40</f>
        <v>0</v>
      </c>
      <c r="L243" s="1625">
        <f>'Part II-Development Team'!L40</f>
        <v>0</v>
      </c>
      <c r="M243" s="1625">
        <f>'Part II-Development Team'!M40</f>
        <v>0</v>
      </c>
      <c r="N243" s="1625">
        <f>'Part II-Development Team'!N40</f>
        <v>0</v>
      </c>
      <c r="O243" s="1633" t="s">
        <v>1760</v>
      </c>
      <c r="P243" s="1625"/>
      <c r="Q243" s="1625" t="str">
        <f>'Part II-Development Team'!Q40</f>
        <v>Senior Vice President</v>
      </c>
      <c r="R243" s="1625">
        <f>'Part II-Development Team'!R40</f>
        <v>0</v>
      </c>
      <c r="S243" s="1625">
        <f>'Part II-Development Team'!S40</f>
        <v>0</v>
      </c>
    </row>
    <row r="244" spans="1:19">
      <c r="A244" s="1625"/>
      <c r="B244" s="1625"/>
      <c r="C244" s="1625"/>
      <c r="D244" s="1698"/>
      <c r="E244" s="1633" t="s">
        <v>624</v>
      </c>
      <c r="F244" s="1625"/>
      <c r="G244" s="1625"/>
      <c r="H244" s="1625" t="str">
        <f>'Part II-Development Team'!H41</f>
        <v>Charlotte</v>
      </c>
      <c r="I244" s="1625">
        <f>'Part II-Development Team'!I41</f>
        <v>0</v>
      </c>
      <c r="J244" s="1625">
        <f>'Part II-Development Team'!J41</f>
        <v>0</v>
      </c>
      <c r="K244" s="1630" t="s">
        <v>2722</v>
      </c>
      <c r="L244" s="1625" t="str">
        <f>'Part II-Development Team'!L41</f>
        <v>www.wellsfargo.com</v>
      </c>
      <c r="M244" s="1625">
        <f>'Part II-Development Team'!M41</f>
        <v>0</v>
      </c>
      <c r="N244" s="1625">
        <f>'Part II-Development Team'!N41</f>
        <v>0</v>
      </c>
      <c r="O244" s="1633" t="s">
        <v>1734</v>
      </c>
      <c r="P244" s="1625"/>
      <c r="Q244" s="1646">
        <f>'Part II-Development Team'!Q41</f>
        <v>7043839705</v>
      </c>
      <c r="R244" s="1646">
        <f>'Part II-Development Team'!R41</f>
        <v>0</v>
      </c>
      <c r="S244" s="1646">
        <f>'Part II-Development Team'!S41</f>
        <v>0</v>
      </c>
    </row>
    <row r="245" spans="1:19">
      <c r="A245" s="1625"/>
      <c r="B245" s="1625"/>
      <c r="C245" s="1625"/>
      <c r="D245" s="1622"/>
      <c r="E245" s="1633" t="s">
        <v>1812</v>
      </c>
      <c r="F245" s="1625"/>
      <c r="G245" s="1625"/>
      <c r="H245" s="1633" t="str">
        <f>'Part II-Development Team'!H42</f>
        <v>NC</v>
      </c>
      <c r="I245" s="1625"/>
      <c r="J245" s="1625"/>
      <c r="K245" s="1630" t="s">
        <v>2245</v>
      </c>
      <c r="L245" s="1645">
        <f>'Part II-Development Team'!L42</f>
        <v>282880000</v>
      </c>
      <c r="M245" s="1645">
        <f>'Part II-Development Team'!M42</f>
        <v>0</v>
      </c>
      <c r="N245" s="1625"/>
      <c r="O245" s="1633" t="s">
        <v>1995</v>
      </c>
      <c r="P245" s="1625"/>
      <c r="Q245" s="1646">
        <f>'Part II-Development Team'!Q42</f>
        <v>7046079795</v>
      </c>
      <c r="R245" s="1646">
        <f>'Part II-Development Team'!R42</f>
        <v>0</v>
      </c>
      <c r="S245" s="1646">
        <f>'Part II-Development Team'!S42</f>
        <v>0</v>
      </c>
    </row>
    <row r="246" spans="1:19">
      <c r="A246" s="1625"/>
      <c r="B246" s="1625"/>
      <c r="C246" s="1625"/>
      <c r="D246" s="1698"/>
      <c r="E246" s="1633" t="s">
        <v>4315</v>
      </c>
      <c r="F246" s="1625"/>
      <c r="G246" s="1625"/>
      <c r="H246" s="1646">
        <f>'Part II-Development Team'!H43</f>
        <v>7043839705</v>
      </c>
      <c r="I246" s="1646">
        <f>'Part II-Development Team'!I43</f>
        <v>0</v>
      </c>
      <c r="J246" s="1650">
        <f>'Part II-Development Team'!J43</f>
        <v>0</v>
      </c>
      <c r="K246" s="1630" t="s">
        <v>2000</v>
      </c>
      <c r="L246" s="1641" t="str">
        <f>'Part II-Development Team'!L43</f>
        <v>rick.davis@wellsfargo.com</v>
      </c>
      <c r="M246" s="1641">
        <f>'Part II-Development Team'!M43</f>
        <v>0</v>
      </c>
      <c r="N246" s="1641">
        <f>'Part II-Development Team'!N43</f>
        <v>0</v>
      </c>
      <c r="O246" s="1641">
        <f>'Part II-Development Team'!O43</f>
        <v>0</v>
      </c>
      <c r="P246" s="1641">
        <f>'Part II-Development Team'!P43</f>
        <v>0</v>
      </c>
      <c r="Q246" s="1641">
        <f>'Part II-Development Team'!Q43</f>
        <v>0</v>
      </c>
      <c r="R246" s="1641">
        <f>'Part II-Development Team'!R43</f>
        <v>0</v>
      </c>
      <c r="S246" s="1641">
        <f>'Part II-Development Team'!S43</f>
        <v>0</v>
      </c>
    </row>
    <row r="247" spans="1:19">
      <c r="A247" s="1625"/>
      <c r="B247" s="1625"/>
      <c r="C247" s="1625"/>
      <c r="D247" s="1698"/>
      <c r="E247" s="1633"/>
      <c r="F247" s="1622"/>
      <c r="G247" s="1625"/>
      <c r="H247" s="1690"/>
      <c r="I247" s="1690"/>
      <c r="J247" s="1702"/>
      <c r="K247" s="1630"/>
      <c r="L247" s="1690"/>
      <c r="M247" s="1690"/>
      <c r="N247" s="1630"/>
      <c r="O247" s="1690"/>
      <c r="P247" s="1690"/>
      <c r="Q247" s="1630"/>
      <c r="R247" s="1690"/>
      <c r="S247" s="1690"/>
    </row>
    <row r="248" spans="1:19" ht="13.5">
      <c r="A248" s="1625"/>
      <c r="B248" s="1625"/>
      <c r="C248" s="1703" t="s">
        <v>2551</v>
      </c>
      <c r="D248" s="1675" t="s">
        <v>657</v>
      </c>
      <c r="E248" s="1625"/>
      <c r="F248" s="1625"/>
      <c r="G248" s="1625"/>
      <c r="H248" s="1625"/>
      <c r="I248" s="1625"/>
      <c r="J248" s="1625"/>
      <c r="K248" s="1627" t="s">
        <v>4314</v>
      </c>
      <c r="L248" s="1625"/>
      <c r="M248" s="1625"/>
      <c r="N248" s="1625"/>
      <c r="O248" s="1625"/>
      <c r="P248" s="1625"/>
      <c r="Q248" s="1625"/>
      <c r="R248" s="1625"/>
      <c r="S248" s="1625"/>
    </row>
    <row r="249" spans="1:19">
      <c r="A249" s="1625"/>
      <c r="B249" s="1625"/>
      <c r="C249" s="1625"/>
      <c r="D249" s="1625"/>
      <c r="E249" s="1625" t="s">
        <v>93</v>
      </c>
      <c r="F249" s="1625"/>
      <c r="G249" s="1625"/>
      <c r="H249" s="1625" t="str">
        <f>'Part II-Development Team'!H46</f>
        <v>In-Fill Housing II, Inc.</v>
      </c>
      <c r="I249" s="1625">
        <f>'Part II-Development Team'!I46</f>
        <v>0</v>
      </c>
      <c r="J249" s="1625">
        <f>'Part II-Development Team'!J46</f>
        <v>0</v>
      </c>
      <c r="K249" s="1625">
        <f>'Part II-Development Team'!K46</f>
        <v>0</v>
      </c>
      <c r="L249" s="1625">
        <f>'Part II-Development Team'!L46</f>
        <v>0</v>
      </c>
      <c r="M249" s="1625">
        <f>'Part II-Development Team'!M46</f>
        <v>0</v>
      </c>
      <c r="N249" s="1625">
        <f>'Part II-Development Team'!N46</f>
        <v>0</v>
      </c>
      <c r="O249" s="1633" t="s">
        <v>2005</v>
      </c>
      <c r="P249" s="1633"/>
      <c r="Q249" s="1625" t="str">
        <f>'Part II-Development Team'!Q46</f>
        <v>Michael T. Austin</v>
      </c>
      <c r="R249" s="1625">
        <f>'Part II-Development Team'!R46</f>
        <v>0</v>
      </c>
      <c r="S249" s="1625">
        <f>'Part II-Development Team'!S46</f>
        <v>0</v>
      </c>
    </row>
    <row r="250" spans="1:19">
      <c r="A250" s="1625"/>
      <c r="B250" s="1625"/>
      <c r="C250" s="1625"/>
      <c r="D250" s="1698"/>
      <c r="E250" s="1633" t="s">
        <v>1031</v>
      </c>
      <c r="F250" s="1636"/>
      <c r="G250" s="1625"/>
      <c r="H250" s="1625" t="str">
        <f>'Part II-Development Team'!H47</f>
        <v>2015 Felton Avenue</v>
      </c>
      <c r="I250" s="1625">
        <f>'Part II-Development Team'!I47</f>
        <v>0</v>
      </c>
      <c r="J250" s="1625">
        <f>'Part II-Development Team'!J47</f>
        <v>0</v>
      </c>
      <c r="K250" s="1625">
        <f>'Part II-Development Team'!K47</f>
        <v>0</v>
      </c>
      <c r="L250" s="1625">
        <f>'Part II-Development Team'!L47</f>
        <v>0</v>
      </c>
      <c r="M250" s="1625">
        <f>'Part II-Development Team'!M47</f>
        <v>0</v>
      </c>
      <c r="N250" s="1625">
        <f>'Part II-Development Team'!N47</f>
        <v>0</v>
      </c>
      <c r="O250" s="1633" t="s">
        <v>1760</v>
      </c>
      <c r="P250" s="1625"/>
      <c r="Q250" s="1625" t="str">
        <f>'Part II-Development Team'!Q47</f>
        <v>CEO</v>
      </c>
      <c r="R250" s="1625">
        <f>'Part II-Development Team'!R47</f>
        <v>0</v>
      </c>
      <c r="S250" s="1625">
        <f>'Part II-Development Team'!S47</f>
        <v>0</v>
      </c>
    </row>
    <row r="251" spans="1:19">
      <c r="A251" s="1625"/>
      <c r="B251" s="1625"/>
      <c r="C251" s="1625"/>
      <c r="D251" s="1698"/>
      <c r="E251" s="1633" t="s">
        <v>624</v>
      </c>
      <c r="F251" s="1625"/>
      <c r="G251" s="1625"/>
      <c r="H251" s="1625" t="str">
        <f>'Part II-Development Team'!H48</f>
        <v>Macon</v>
      </c>
      <c r="I251" s="1625">
        <f>'Part II-Development Team'!I48</f>
        <v>0</v>
      </c>
      <c r="J251" s="1625">
        <f>'Part II-Development Team'!J48</f>
        <v>0</v>
      </c>
      <c r="K251" s="1630" t="s">
        <v>2722</v>
      </c>
      <c r="L251" s="1625">
        <f>'Part II-Development Team'!L48</f>
        <v>0</v>
      </c>
      <c r="M251" s="1625">
        <f>'Part II-Development Team'!M48</f>
        <v>0</v>
      </c>
      <c r="N251" s="1625">
        <f>'Part II-Development Team'!N48</f>
        <v>0</v>
      </c>
      <c r="O251" s="1633" t="s">
        <v>1734</v>
      </c>
      <c r="P251" s="1625"/>
      <c r="Q251" s="1646">
        <f>'Part II-Development Team'!Q48</f>
        <v>4787525070</v>
      </c>
      <c r="R251" s="1646">
        <f>'Part II-Development Team'!R48</f>
        <v>0</v>
      </c>
      <c r="S251" s="1646">
        <f>'Part II-Development Team'!S48</f>
        <v>0</v>
      </c>
    </row>
    <row r="252" spans="1:19">
      <c r="A252" s="1625"/>
      <c r="B252" s="1625"/>
      <c r="C252" s="1625"/>
      <c r="D252" s="1625"/>
      <c r="E252" s="1633" t="s">
        <v>1812</v>
      </c>
      <c r="F252" s="1625"/>
      <c r="G252" s="1625"/>
      <c r="H252" s="1633" t="str">
        <f>'Part II-Development Team'!H49</f>
        <v>GA</v>
      </c>
      <c r="I252" s="1625"/>
      <c r="J252" s="1625"/>
      <c r="K252" s="1630" t="s">
        <v>2245</v>
      </c>
      <c r="L252" s="1645">
        <f>'Part II-Development Team'!L49</f>
        <v>312012404</v>
      </c>
      <c r="M252" s="1645">
        <f>'Part II-Development Team'!M49</f>
        <v>0</v>
      </c>
      <c r="N252" s="1625"/>
      <c r="O252" s="1633" t="s">
        <v>1995</v>
      </c>
      <c r="P252" s="1625"/>
      <c r="Q252" s="1646">
        <f>'Part II-Development Team'!Q49</f>
        <v>4783207044</v>
      </c>
      <c r="R252" s="1646">
        <f>'Part II-Development Team'!R49</f>
        <v>0</v>
      </c>
      <c r="S252" s="1646">
        <f>'Part II-Development Team'!S49</f>
        <v>0</v>
      </c>
    </row>
    <row r="253" spans="1:19">
      <c r="A253" s="1625"/>
      <c r="B253" s="1625"/>
      <c r="C253" s="1625"/>
      <c r="D253" s="1698"/>
      <c r="E253" s="1633" t="s">
        <v>4315</v>
      </c>
      <c r="F253" s="1625"/>
      <c r="G253" s="1625"/>
      <c r="H253" s="1646">
        <f>'Part II-Development Team'!H50</f>
        <v>4787525070</v>
      </c>
      <c r="I253" s="1646">
        <f>'Part II-Development Team'!I50</f>
        <v>0</v>
      </c>
      <c r="J253" s="1650">
        <f>'Part II-Development Team'!J50</f>
        <v>0</v>
      </c>
      <c r="K253" s="1630" t="s">
        <v>2000</v>
      </c>
      <c r="L253" s="1641" t="str">
        <f>'Part II-Development Team'!L50</f>
        <v>maustin@maconhousing.com</v>
      </c>
      <c r="M253" s="1641">
        <f>'Part II-Development Team'!M50</f>
        <v>0</v>
      </c>
      <c r="N253" s="1641">
        <f>'Part II-Development Team'!N50</f>
        <v>0</v>
      </c>
      <c r="O253" s="1641">
        <f>'Part II-Development Team'!O50</f>
        <v>0</v>
      </c>
      <c r="P253" s="1641">
        <f>'Part II-Development Team'!P50</f>
        <v>0</v>
      </c>
      <c r="Q253" s="1641">
        <f>'Part II-Development Team'!Q50</f>
        <v>0</v>
      </c>
      <c r="R253" s="1641">
        <f>'Part II-Development Team'!R50</f>
        <v>0</v>
      </c>
      <c r="S253" s="1641">
        <f>'Part II-Development Team'!S50</f>
        <v>0</v>
      </c>
    </row>
    <row r="254" spans="1:19">
      <c r="A254" s="1632"/>
      <c r="B254" s="1632"/>
      <c r="C254" s="1632"/>
      <c r="D254" s="1632"/>
      <c r="E254" s="1632"/>
      <c r="F254" s="1632"/>
      <c r="G254" s="1632"/>
      <c r="H254" s="1632"/>
      <c r="I254" s="1632"/>
      <c r="J254" s="1632"/>
      <c r="K254" s="1632"/>
      <c r="L254" s="1632"/>
      <c r="M254" s="1632"/>
      <c r="N254" s="1632"/>
      <c r="O254" s="1632"/>
      <c r="P254" s="1632"/>
      <c r="Q254" s="1632"/>
      <c r="R254" s="1632"/>
      <c r="S254" s="1632"/>
    </row>
    <row r="255" spans="1:19" ht="13.5">
      <c r="A255" s="1622" t="s">
        <v>748</v>
      </c>
      <c r="B255" s="1622" t="s">
        <v>658</v>
      </c>
      <c r="C255" s="1625"/>
      <c r="D255" s="1625"/>
      <c r="E255" s="1625"/>
      <c r="F255" s="1622"/>
      <c r="G255" s="1630"/>
      <c r="H255" s="1630"/>
      <c r="I255" s="1630"/>
      <c r="J255" s="1625"/>
      <c r="K255" s="1627" t="s">
        <v>4314</v>
      </c>
      <c r="L255" s="1625"/>
      <c r="M255" s="1625"/>
      <c r="N255" s="1625"/>
      <c r="O255" s="1625"/>
      <c r="P255" s="1625"/>
      <c r="Q255" s="1625"/>
      <c r="R255" s="1625"/>
      <c r="S255" s="1625"/>
    </row>
    <row r="256" spans="1:19">
      <c r="A256" s="1622"/>
      <c r="B256" s="1622"/>
      <c r="C256" s="1625"/>
      <c r="D256" s="1625"/>
      <c r="E256" s="1625"/>
      <c r="F256" s="1622"/>
      <c r="G256" s="1630"/>
      <c r="H256" s="1646"/>
      <c r="I256" s="1646"/>
      <c r="J256" s="1646"/>
      <c r="K256" s="1630"/>
      <c r="L256" s="1646"/>
      <c r="M256" s="1646"/>
      <c r="N256" s="1630"/>
      <c r="O256" s="1646"/>
      <c r="P256" s="1646"/>
      <c r="Q256" s="1630"/>
      <c r="R256" s="1646"/>
      <c r="S256" s="1646"/>
    </row>
    <row r="257" spans="1:19">
      <c r="A257" s="1625"/>
      <c r="B257" s="1622" t="s">
        <v>1999</v>
      </c>
      <c r="C257" s="1622" t="s">
        <v>284</v>
      </c>
      <c r="D257" s="1625"/>
      <c r="E257" s="1625"/>
      <c r="F257" s="1625"/>
      <c r="G257" s="1625"/>
      <c r="H257" s="1625" t="str">
        <f>'Part II-Development Team'!H54</f>
        <v>In-Fill Housing II, Inc.</v>
      </c>
      <c r="I257" s="1625">
        <f>'Part II-Development Team'!I54</f>
        <v>0</v>
      </c>
      <c r="J257" s="1625">
        <f>'Part II-Development Team'!J54</f>
        <v>0</v>
      </c>
      <c r="K257" s="1625">
        <f>'Part II-Development Team'!K54</f>
        <v>0</v>
      </c>
      <c r="L257" s="1625">
        <f>'Part II-Development Team'!L54</f>
        <v>0</v>
      </c>
      <c r="M257" s="1625">
        <f>'Part II-Development Team'!M54</f>
        <v>0</v>
      </c>
      <c r="N257" s="1625">
        <f>'Part II-Development Team'!N54</f>
        <v>0</v>
      </c>
      <c r="O257" s="1633" t="s">
        <v>2005</v>
      </c>
      <c r="P257" s="1633"/>
      <c r="Q257" s="1625" t="str">
        <f>'Part II-Development Team'!Q54</f>
        <v>Michael T. Austin</v>
      </c>
      <c r="R257" s="1625">
        <f>'Part II-Development Team'!R54</f>
        <v>0</v>
      </c>
      <c r="S257" s="1625">
        <f>'Part II-Development Team'!S54</f>
        <v>0</v>
      </c>
    </row>
    <row r="258" spans="1:19">
      <c r="A258" s="1625"/>
      <c r="B258" s="1625"/>
      <c r="C258" s="1625"/>
      <c r="D258" s="1698"/>
      <c r="E258" s="1633" t="s">
        <v>1031</v>
      </c>
      <c r="F258" s="1636"/>
      <c r="G258" s="1625"/>
      <c r="H258" s="1625" t="str">
        <f>'Part II-Development Team'!H55</f>
        <v>2015 Felton Avenue</v>
      </c>
      <c r="I258" s="1625">
        <f>'Part II-Development Team'!I55</f>
        <v>0</v>
      </c>
      <c r="J258" s="1625">
        <f>'Part II-Development Team'!J55</f>
        <v>0</v>
      </c>
      <c r="K258" s="1625">
        <f>'Part II-Development Team'!K55</f>
        <v>0</v>
      </c>
      <c r="L258" s="1625">
        <f>'Part II-Development Team'!L55</f>
        <v>0</v>
      </c>
      <c r="M258" s="1625">
        <f>'Part II-Development Team'!M55</f>
        <v>0</v>
      </c>
      <c r="N258" s="1625">
        <f>'Part II-Development Team'!N55</f>
        <v>0</v>
      </c>
      <c r="O258" s="1633" t="s">
        <v>1760</v>
      </c>
      <c r="P258" s="1625"/>
      <c r="Q258" s="1625" t="str">
        <f>'Part II-Development Team'!Q55</f>
        <v>CEO</v>
      </c>
      <c r="R258" s="1625">
        <f>'Part II-Development Team'!R55</f>
        <v>0</v>
      </c>
      <c r="S258" s="1625">
        <f>'Part II-Development Team'!S55</f>
        <v>0</v>
      </c>
    </row>
    <row r="259" spans="1:19">
      <c r="A259" s="1625"/>
      <c r="B259" s="1625"/>
      <c r="C259" s="1625"/>
      <c r="D259" s="1698"/>
      <c r="E259" s="1633" t="s">
        <v>624</v>
      </c>
      <c r="F259" s="1625"/>
      <c r="G259" s="1625"/>
      <c r="H259" s="1625" t="str">
        <f>'Part II-Development Team'!H56</f>
        <v>Macon</v>
      </c>
      <c r="I259" s="1625">
        <f>'Part II-Development Team'!I56</f>
        <v>0</v>
      </c>
      <c r="J259" s="1625">
        <f>'Part II-Development Team'!J56</f>
        <v>0</v>
      </c>
      <c r="K259" s="1630" t="s">
        <v>2722</v>
      </c>
      <c r="L259" s="1625">
        <f>'Part II-Development Team'!L56</f>
        <v>0</v>
      </c>
      <c r="M259" s="1625">
        <f>'Part II-Development Team'!M56</f>
        <v>0</v>
      </c>
      <c r="N259" s="1625">
        <f>'Part II-Development Team'!N56</f>
        <v>0</v>
      </c>
      <c r="O259" s="1633" t="s">
        <v>1734</v>
      </c>
      <c r="P259" s="1625"/>
      <c r="Q259" s="1646">
        <f>'Part II-Development Team'!Q56</f>
        <v>4787525070</v>
      </c>
      <c r="R259" s="1646">
        <f>'Part II-Development Team'!R56</f>
        <v>0</v>
      </c>
      <c r="S259" s="1646">
        <f>'Part II-Development Team'!S56</f>
        <v>0</v>
      </c>
    </row>
    <row r="260" spans="1:19">
      <c r="A260" s="1625"/>
      <c r="B260" s="1625"/>
      <c r="C260" s="1625"/>
      <c r="D260" s="1625"/>
      <c r="E260" s="1633" t="s">
        <v>1812</v>
      </c>
      <c r="F260" s="1625"/>
      <c r="G260" s="1625"/>
      <c r="H260" s="1633" t="str">
        <f>'Part II-Development Team'!H57</f>
        <v>GA</v>
      </c>
      <c r="I260" s="1625"/>
      <c r="J260" s="1625"/>
      <c r="K260" s="1630" t="s">
        <v>2245</v>
      </c>
      <c r="L260" s="1645">
        <f>'Part II-Development Team'!L57</f>
        <v>312012404</v>
      </c>
      <c r="M260" s="1645">
        <f>'Part II-Development Team'!M57</f>
        <v>0</v>
      </c>
      <c r="N260" s="1625"/>
      <c r="O260" s="1633" t="s">
        <v>1995</v>
      </c>
      <c r="P260" s="1625"/>
      <c r="Q260" s="1646">
        <f>'Part II-Development Team'!Q57</f>
        <v>4783207044</v>
      </c>
      <c r="R260" s="1646">
        <f>'Part II-Development Team'!R57</f>
        <v>0</v>
      </c>
      <c r="S260" s="1646">
        <f>'Part II-Development Team'!S57</f>
        <v>0</v>
      </c>
    </row>
    <row r="261" spans="1:19">
      <c r="A261" s="1625"/>
      <c r="B261" s="1625"/>
      <c r="C261" s="1625"/>
      <c r="D261" s="1698"/>
      <c r="E261" s="1633" t="s">
        <v>4315</v>
      </c>
      <c r="F261" s="1625"/>
      <c r="G261" s="1625"/>
      <c r="H261" s="1646">
        <f>'Part II-Development Team'!H58</f>
        <v>4787525070</v>
      </c>
      <c r="I261" s="1646">
        <f>'Part II-Development Team'!I58</f>
        <v>0</v>
      </c>
      <c r="J261" s="1650">
        <f>'Part II-Development Team'!J58</f>
        <v>0</v>
      </c>
      <c r="K261" s="1630" t="s">
        <v>2000</v>
      </c>
      <c r="L261" s="1641" t="str">
        <f>'Part II-Development Team'!L58</f>
        <v>maustin@maconhousing.com</v>
      </c>
      <c r="M261" s="1641">
        <f>'Part II-Development Team'!M58</f>
        <v>0</v>
      </c>
      <c r="N261" s="1641">
        <f>'Part II-Development Team'!N58</f>
        <v>0</v>
      </c>
      <c r="O261" s="1641">
        <f>'Part II-Development Team'!O58</f>
        <v>0</v>
      </c>
      <c r="P261" s="1641">
        <f>'Part II-Development Team'!P58</f>
        <v>0</v>
      </c>
      <c r="Q261" s="1641">
        <f>'Part II-Development Team'!Q58</f>
        <v>0</v>
      </c>
      <c r="R261" s="1641">
        <f>'Part II-Development Team'!R58</f>
        <v>0</v>
      </c>
      <c r="S261" s="1641">
        <f>'Part II-Development Team'!S58</f>
        <v>0</v>
      </c>
    </row>
    <row r="262" spans="1:19">
      <c r="A262" s="1625"/>
      <c r="B262" s="1625"/>
      <c r="C262" s="1625"/>
      <c r="D262" s="1698"/>
      <c r="E262" s="1625"/>
      <c r="F262" s="1625"/>
      <c r="G262" s="1633"/>
      <c r="H262" s="1646"/>
      <c r="I262" s="1646"/>
      <c r="J262" s="1646"/>
      <c r="K262" s="1630"/>
      <c r="L262" s="1646"/>
      <c r="M262" s="1646"/>
      <c r="N262" s="1630"/>
      <c r="O262" s="1646"/>
      <c r="P262" s="1646"/>
      <c r="Q262" s="1630"/>
      <c r="R262" s="1646"/>
      <c r="S262" s="1646"/>
    </row>
    <row r="263" spans="1:19">
      <c r="A263" s="1625"/>
      <c r="B263" s="1622" t="s">
        <v>2001</v>
      </c>
      <c r="C263" s="1622" t="s">
        <v>285</v>
      </c>
      <c r="D263" s="1625"/>
      <c r="E263" s="1625"/>
      <c r="F263" s="1625"/>
      <c r="G263" s="1625"/>
      <c r="H263" s="1625">
        <f>'Part II-Development Team'!H60</f>
        <v>0</v>
      </c>
      <c r="I263" s="1625">
        <f>'Part II-Development Team'!I60</f>
        <v>0</v>
      </c>
      <c r="J263" s="1625">
        <f>'Part II-Development Team'!J60</f>
        <v>0</v>
      </c>
      <c r="K263" s="1625">
        <f>'Part II-Development Team'!K60</f>
        <v>0</v>
      </c>
      <c r="L263" s="1625">
        <f>'Part II-Development Team'!L60</f>
        <v>0</v>
      </c>
      <c r="M263" s="1625">
        <f>'Part II-Development Team'!M60</f>
        <v>0</v>
      </c>
      <c r="N263" s="1625">
        <f>'Part II-Development Team'!N60</f>
        <v>0</v>
      </c>
      <c r="O263" s="1633" t="s">
        <v>2005</v>
      </c>
      <c r="P263" s="1633"/>
      <c r="Q263" s="1625">
        <f>'Part II-Development Team'!Q60</f>
        <v>0</v>
      </c>
      <c r="R263" s="1625">
        <f>'Part II-Development Team'!R60</f>
        <v>0</v>
      </c>
      <c r="S263" s="1625">
        <f>'Part II-Development Team'!S60</f>
        <v>0</v>
      </c>
    </row>
    <row r="264" spans="1:19">
      <c r="A264" s="1625"/>
      <c r="B264" s="1625"/>
      <c r="C264" s="1625"/>
      <c r="D264" s="1698"/>
      <c r="E264" s="1633" t="s">
        <v>1031</v>
      </c>
      <c r="F264" s="1636"/>
      <c r="G264" s="1625"/>
      <c r="H264" s="1625">
        <f>'Part II-Development Team'!H61</f>
        <v>0</v>
      </c>
      <c r="I264" s="1625">
        <f>'Part II-Development Team'!I61</f>
        <v>0</v>
      </c>
      <c r="J264" s="1625">
        <f>'Part II-Development Team'!J61</f>
        <v>0</v>
      </c>
      <c r="K264" s="1625">
        <f>'Part II-Development Team'!K61</f>
        <v>0</v>
      </c>
      <c r="L264" s="1625">
        <f>'Part II-Development Team'!L61</f>
        <v>0</v>
      </c>
      <c r="M264" s="1625">
        <f>'Part II-Development Team'!M61</f>
        <v>0</v>
      </c>
      <c r="N264" s="1625">
        <f>'Part II-Development Team'!N61</f>
        <v>0</v>
      </c>
      <c r="O264" s="1633" t="s">
        <v>1760</v>
      </c>
      <c r="P264" s="1625"/>
      <c r="Q264" s="1625">
        <f>'Part II-Development Team'!Q61</f>
        <v>0</v>
      </c>
      <c r="R264" s="1625">
        <f>'Part II-Development Team'!R61</f>
        <v>0</v>
      </c>
      <c r="S264" s="1625">
        <f>'Part II-Development Team'!S61</f>
        <v>0</v>
      </c>
    </row>
    <row r="265" spans="1:19">
      <c r="A265" s="1625"/>
      <c r="B265" s="1625"/>
      <c r="C265" s="1625"/>
      <c r="D265" s="1698"/>
      <c r="E265" s="1633" t="s">
        <v>624</v>
      </c>
      <c r="F265" s="1625"/>
      <c r="G265" s="1625"/>
      <c r="H265" s="1625">
        <f>'Part II-Development Team'!H62</f>
        <v>0</v>
      </c>
      <c r="I265" s="1625">
        <f>'Part II-Development Team'!I62</f>
        <v>0</v>
      </c>
      <c r="J265" s="1625">
        <f>'Part II-Development Team'!J62</f>
        <v>0</v>
      </c>
      <c r="K265" s="1630" t="s">
        <v>2722</v>
      </c>
      <c r="L265" s="1625">
        <f>'Part II-Development Team'!L62</f>
        <v>0</v>
      </c>
      <c r="M265" s="1625">
        <f>'Part II-Development Team'!M62</f>
        <v>0</v>
      </c>
      <c r="N265" s="1625">
        <f>'Part II-Development Team'!N62</f>
        <v>0</v>
      </c>
      <c r="O265" s="1633" t="s">
        <v>1734</v>
      </c>
      <c r="P265" s="1625"/>
      <c r="Q265" s="1646">
        <f>'Part II-Development Team'!Q62</f>
        <v>0</v>
      </c>
      <c r="R265" s="1646">
        <f>'Part II-Development Team'!R62</f>
        <v>0</v>
      </c>
      <c r="S265" s="1646">
        <f>'Part II-Development Team'!S62</f>
        <v>0</v>
      </c>
    </row>
    <row r="266" spans="1:19">
      <c r="A266" s="1625"/>
      <c r="B266" s="1625"/>
      <c r="C266" s="1625"/>
      <c r="D266" s="1625"/>
      <c r="E266" s="1633" t="s">
        <v>1812</v>
      </c>
      <c r="F266" s="1625"/>
      <c r="G266" s="1625"/>
      <c r="H266" s="1633">
        <f>'Part II-Development Team'!H63</f>
        <v>0</v>
      </c>
      <c r="I266" s="1625"/>
      <c r="J266" s="1625"/>
      <c r="K266" s="1630" t="s">
        <v>2245</v>
      </c>
      <c r="L266" s="1645">
        <f>'Part II-Development Team'!L63</f>
        <v>0</v>
      </c>
      <c r="M266" s="1645">
        <f>'Part II-Development Team'!M63</f>
        <v>0</v>
      </c>
      <c r="N266" s="1625"/>
      <c r="O266" s="1633" t="s">
        <v>1995</v>
      </c>
      <c r="P266" s="1625"/>
      <c r="Q266" s="1646">
        <f>'Part II-Development Team'!Q63</f>
        <v>0</v>
      </c>
      <c r="R266" s="1646">
        <f>'Part II-Development Team'!R63</f>
        <v>0</v>
      </c>
      <c r="S266" s="1646">
        <f>'Part II-Development Team'!S63</f>
        <v>0</v>
      </c>
    </row>
    <row r="267" spans="1:19">
      <c r="A267" s="1625"/>
      <c r="B267" s="1625"/>
      <c r="C267" s="1625"/>
      <c r="D267" s="1698"/>
      <c r="E267" s="1633" t="s">
        <v>4315</v>
      </c>
      <c r="F267" s="1625"/>
      <c r="G267" s="1625"/>
      <c r="H267" s="1646">
        <f>'Part II-Development Team'!H64</f>
        <v>0</v>
      </c>
      <c r="I267" s="1646">
        <f>'Part II-Development Team'!I64</f>
        <v>0</v>
      </c>
      <c r="J267" s="1650">
        <f>'Part II-Development Team'!J64</f>
        <v>0</v>
      </c>
      <c r="K267" s="1630" t="s">
        <v>2000</v>
      </c>
      <c r="L267" s="1641">
        <f>'Part II-Development Team'!L64</f>
        <v>0</v>
      </c>
      <c r="M267" s="1641">
        <f>'Part II-Development Team'!M64</f>
        <v>0</v>
      </c>
      <c r="N267" s="1641">
        <f>'Part II-Development Team'!N64</f>
        <v>0</v>
      </c>
      <c r="O267" s="1641">
        <f>'Part II-Development Team'!O64</f>
        <v>0</v>
      </c>
      <c r="P267" s="1641">
        <f>'Part II-Development Team'!P64</f>
        <v>0</v>
      </c>
      <c r="Q267" s="1641">
        <f>'Part II-Development Team'!Q64</f>
        <v>0</v>
      </c>
      <c r="R267" s="1641">
        <f>'Part II-Development Team'!R64</f>
        <v>0</v>
      </c>
      <c r="S267" s="1641">
        <f>'Part II-Development Team'!S64</f>
        <v>0</v>
      </c>
    </row>
    <row r="268" spans="1:19">
      <c r="A268" s="1625"/>
      <c r="B268" s="1625"/>
      <c r="C268" s="1625"/>
      <c r="D268" s="1698"/>
      <c r="E268" s="1625"/>
      <c r="F268" s="1625"/>
      <c r="G268" s="1633"/>
      <c r="H268" s="1646"/>
      <c r="I268" s="1646"/>
      <c r="J268" s="1646"/>
      <c r="K268" s="1630"/>
      <c r="L268" s="1646"/>
      <c r="M268" s="1646"/>
      <c r="N268" s="1630"/>
      <c r="O268" s="1646"/>
      <c r="P268" s="1646"/>
      <c r="Q268" s="1630"/>
      <c r="R268" s="1646"/>
      <c r="S268" s="1646"/>
    </row>
    <row r="269" spans="1:19">
      <c r="A269" s="1625"/>
      <c r="B269" s="1622" t="s">
        <v>757</v>
      </c>
      <c r="C269" s="1622" t="s">
        <v>1540</v>
      </c>
      <c r="D269" s="1625"/>
      <c r="E269" s="1625"/>
      <c r="F269" s="1625"/>
      <c r="G269" s="1625"/>
      <c r="H269" s="1625">
        <f>'Part II-Development Team'!H66</f>
        <v>0</v>
      </c>
      <c r="I269" s="1625">
        <f>'Part II-Development Team'!I66</f>
        <v>0</v>
      </c>
      <c r="J269" s="1625">
        <f>'Part II-Development Team'!J66</f>
        <v>0</v>
      </c>
      <c r="K269" s="1625">
        <f>'Part II-Development Team'!K66</f>
        <v>0</v>
      </c>
      <c r="L269" s="1625">
        <f>'Part II-Development Team'!L66</f>
        <v>0</v>
      </c>
      <c r="M269" s="1625">
        <f>'Part II-Development Team'!M66</f>
        <v>0</v>
      </c>
      <c r="N269" s="1625">
        <f>'Part II-Development Team'!N66</f>
        <v>0</v>
      </c>
      <c r="O269" s="1633" t="s">
        <v>2005</v>
      </c>
      <c r="P269" s="1633"/>
      <c r="Q269" s="1625">
        <f>'Part II-Development Team'!Q66</f>
        <v>0</v>
      </c>
      <c r="R269" s="1625">
        <f>'Part II-Development Team'!R66</f>
        <v>0</v>
      </c>
      <c r="S269" s="1625">
        <f>'Part II-Development Team'!S66</f>
        <v>0</v>
      </c>
    </row>
    <row r="270" spans="1:19">
      <c r="A270" s="1625"/>
      <c r="B270" s="1625"/>
      <c r="C270" s="1625"/>
      <c r="D270" s="1698"/>
      <c r="E270" s="1633" t="s">
        <v>1031</v>
      </c>
      <c r="F270" s="1636"/>
      <c r="G270" s="1625"/>
      <c r="H270" s="1625">
        <f>'Part II-Development Team'!H67</f>
        <v>0</v>
      </c>
      <c r="I270" s="1625">
        <f>'Part II-Development Team'!I67</f>
        <v>0</v>
      </c>
      <c r="J270" s="1625">
        <f>'Part II-Development Team'!J67</f>
        <v>0</v>
      </c>
      <c r="K270" s="1625">
        <f>'Part II-Development Team'!K67</f>
        <v>0</v>
      </c>
      <c r="L270" s="1625">
        <f>'Part II-Development Team'!L67</f>
        <v>0</v>
      </c>
      <c r="M270" s="1625">
        <f>'Part II-Development Team'!M67</f>
        <v>0</v>
      </c>
      <c r="N270" s="1625">
        <f>'Part II-Development Team'!N67</f>
        <v>0</v>
      </c>
      <c r="O270" s="1633" t="s">
        <v>1760</v>
      </c>
      <c r="P270" s="1625"/>
      <c r="Q270" s="1625">
        <f>'Part II-Development Team'!Q67</f>
        <v>0</v>
      </c>
      <c r="R270" s="1625">
        <f>'Part II-Development Team'!R67</f>
        <v>0</v>
      </c>
      <c r="S270" s="1625">
        <f>'Part II-Development Team'!S67</f>
        <v>0</v>
      </c>
    </row>
    <row r="271" spans="1:19">
      <c r="A271" s="1625"/>
      <c r="B271" s="1625"/>
      <c r="C271" s="1625"/>
      <c r="D271" s="1698"/>
      <c r="E271" s="1633" t="s">
        <v>624</v>
      </c>
      <c r="F271" s="1625"/>
      <c r="G271" s="1625"/>
      <c r="H271" s="1625">
        <f>'Part II-Development Team'!H68</f>
        <v>0</v>
      </c>
      <c r="I271" s="1625">
        <f>'Part II-Development Team'!I68</f>
        <v>0</v>
      </c>
      <c r="J271" s="1625">
        <f>'Part II-Development Team'!J68</f>
        <v>0</v>
      </c>
      <c r="K271" s="1630" t="s">
        <v>2722</v>
      </c>
      <c r="L271" s="1625">
        <f>'Part II-Development Team'!L68</f>
        <v>0</v>
      </c>
      <c r="M271" s="1625">
        <f>'Part II-Development Team'!M68</f>
        <v>0</v>
      </c>
      <c r="N271" s="1625">
        <f>'Part II-Development Team'!N68</f>
        <v>0</v>
      </c>
      <c r="O271" s="1633" t="s">
        <v>1734</v>
      </c>
      <c r="P271" s="1625"/>
      <c r="Q271" s="1646">
        <f>'Part II-Development Team'!Q68</f>
        <v>0</v>
      </c>
      <c r="R271" s="1646">
        <f>'Part II-Development Team'!R68</f>
        <v>0</v>
      </c>
      <c r="S271" s="1646">
        <f>'Part II-Development Team'!S68</f>
        <v>0</v>
      </c>
    </row>
    <row r="272" spans="1:19">
      <c r="A272" s="1625"/>
      <c r="B272" s="1625"/>
      <c r="C272" s="1625"/>
      <c r="D272" s="1625"/>
      <c r="E272" s="1633" t="s">
        <v>1812</v>
      </c>
      <c r="F272" s="1625"/>
      <c r="G272" s="1625"/>
      <c r="H272" s="1633">
        <f>'Part II-Development Team'!H69</f>
        <v>0</v>
      </c>
      <c r="I272" s="1625"/>
      <c r="J272" s="1625"/>
      <c r="K272" s="1630" t="s">
        <v>2245</v>
      </c>
      <c r="L272" s="1645">
        <f>'Part II-Development Team'!L69</f>
        <v>0</v>
      </c>
      <c r="M272" s="1645">
        <f>'Part II-Development Team'!M69</f>
        <v>0</v>
      </c>
      <c r="N272" s="1625"/>
      <c r="O272" s="1633" t="s">
        <v>1995</v>
      </c>
      <c r="P272" s="1625"/>
      <c r="Q272" s="1646">
        <f>'Part II-Development Team'!Q69</f>
        <v>0</v>
      </c>
      <c r="R272" s="1646">
        <f>'Part II-Development Team'!R69</f>
        <v>0</v>
      </c>
      <c r="S272" s="1646">
        <f>'Part II-Development Team'!S69</f>
        <v>0</v>
      </c>
    </row>
    <row r="273" spans="1:19">
      <c r="A273" s="1625"/>
      <c r="B273" s="1625"/>
      <c r="C273" s="1625"/>
      <c r="D273" s="1698"/>
      <c r="E273" s="1633" t="s">
        <v>4315</v>
      </c>
      <c r="F273" s="1625"/>
      <c r="G273" s="1625"/>
      <c r="H273" s="1646">
        <f>'Part II-Development Team'!H70</f>
        <v>0</v>
      </c>
      <c r="I273" s="1646">
        <f>'Part II-Development Team'!I70</f>
        <v>0</v>
      </c>
      <c r="J273" s="1650">
        <f>'Part II-Development Team'!J70</f>
        <v>0</v>
      </c>
      <c r="K273" s="1630" t="s">
        <v>2000</v>
      </c>
      <c r="L273" s="1641">
        <f>'Part II-Development Team'!L70</f>
        <v>0</v>
      </c>
      <c r="M273" s="1641">
        <f>'Part II-Development Team'!M70</f>
        <v>0</v>
      </c>
      <c r="N273" s="1641">
        <f>'Part II-Development Team'!N70</f>
        <v>0</v>
      </c>
      <c r="O273" s="1641">
        <f>'Part II-Development Team'!O70</f>
        <v>0</v>
      </c>
      <c r="P273" s="1641">
        <f>'Part II-Development Team'!P70</f>
        <v>0</v>
      </c>
      <c r="Q273" s="1641">
        <f>'Part II-Development Team'!Q70</f>
        <v>0</v>
      </c>
      <c r="R273" s="1641">
        <f>'Part II-Development Team'!R70</f>
        <v>0</v>
      </c>
      <c r="S273" s="1641">
        <f>'Part II-Development Team'!S70</f>
        <v>0</v>
      </c>
    </row>
    <row r="274" spans="1:19">
      <c r="A274" s="1632"/>
      <c r="B274" s="1632"/>
      <c r="C274" s="1632"/>
      <c r="D274" s="1632"/>
      <c r="E274" s="1632"/>
      <c r="F274" s="1632"/>
      <c r="G274" s="1632"/>
      <c r="H274" s="1646"/>
      <c r="I274" s="1646"/>
      <c r="J274" s="1646"/>
      <c r="K274" s="1630"/>
      <c r="L274" s="1646"/>
      <c r="M274" s="1646"/>
      <c r="N274" s="1630"/>
      <c r="O274" s="1646"/>
      <c r="P274" s="1646"/>
      <c r="Q274" s="1630"/>
      <c r="R274" s="1646"/>
      <c r="S274" s="1646"/>
    </row>
    <row r="275" spans="1:19">
      <c r="A275" s="1625"/>
      <c r="B275" s="1622" t="s">
        <v>2131</v>
      </c>
      <c r="C275" s="1622" t="s">
        <v>286</v>
      </c>
      <c r="D275" s="1625"/>
      <c r="E275" s="1625"/>
      <c r="F275" s="1625"/>
      <c r="G275" s="1625"/>
      <c r="H275" s="1625">
        <f>'Part II-Development Team'!H72</f>
        <v>0</v>
      </c>
      <c r="I275" s="1625">
        <f>'Part II-Development Team'!I72</f>
        <v>0</v>
      </c>
      <c r="J275" s="1625">
        <f>'Part II-Development Team'!J72</f>
        <v>0</v>
      </c>
      <c r="K275" s="1625">
        <f>'Part II-Development Team'!K72</f>
        <v>0</v>
      </c>
      <c r="L275" s="1625">
        <f>'Part II-Development Team'!L72</f>
        <v>0</v>
      </c>
      <c r="M275" s="1625">
        <f>'Part II-Development Team'!M72</f>
        <v>0</v>
      </c>
      <c r="N275" s="1625">
        <f>'Part II-Development Team'!N72</f>
        <v>0</v>
      </c>
      <c r="O275" s="1633" t="s">
        <v>2005</v>
      </c>
      <c r="P275" s="1633"/>
      <c r="Q275" s="1625">
        <f>'Part II-Development Team'!Q72</f>
        <v>0</v>
      </c>
      <c r="R275" s="1625">
        <f>'Part II-Development Team'!R72</f>
        <v>0</v>
      </c>
      <c r="S275" s="1625">
        <f>'Part II-Development Team'!S72</f>
        <v>0</v>
      </c>
    </row>
    <row r="276" spans="1:19">
      <c r="A276" s="1625"/>
      <c r="B276" s="1625"/>
      <c r="C276" s="1625"/>
      <c r="D276" s="1698"/>
      <c r="E276" s="1633" t="s">
        <v>1031</v>
      </c>
      <c r="F276" s="1636"/>
      <c r="G276" s="1625"/>
      <c r="H276" s="1625">
        <f>'Part II-Development Team'!H73</f>
        <v>0</v>
      </c>
      <c r="I276" s="1625">
        <f>'Part II-Development Team'!I73</f>
        <v>0</v>
      </c>
      <c r="J276" s="1625">
        <f>'Part II-Development Team'!J73</f>
        <v>0</v>
      </c>
      <c r="K276" s="1625">
        <f>'Part II-Development Team'!K73</f>
        <v>0</v>
      </c>
      <c r="L276" s="1625">
        <f>'Part II-Development Team'!L73</f>
        <v>0</v>
      </c>
      <c r="M276" s="1625">
        <f>'Part II-Development Team'!M73</f>
        <v>0</v>
      </c>
      <c r="N276" s="1625">
        <f>'Part II-Development Team'!N73</f>
        <v>0</v>
      </c>
      <c r="O276" s="1633" t="s">
        <v>1760</v>
      </c>
      <c r="P276" s="1625"/>
      <c r="Q276" s="1625">
        <f>'Part II-Development Team'!Q73</f>
        <v>0</v>
      </c>
      <c r="R276" s="1625">
        <f>'Part II-Development Team'!R73</f>
        <v>0</v>
      </c>
      <c r="S276" s="1625">
        <f>'Part II-Development Team'!S73</f>
        <v>0</v>
      </c>
    </row>
    <row r="277" spans="1:19">
      <c r="A277" s="1625"/>
      <c r="B277" s="1625"/>
      <c r="C277" s="1625"/>
      <c r="D277" s="1698"/>
      <c r="E277" s="1633" t="s">
        <v>624</v>
      </c>
      <c r="F277" s="1625"/>
      <c r="G277" s="1625"/>
      <c r="H277" s="1625">
        <f>'Part II-Development Team'!H74</f>
        <v>0</v>
      </c>
      <c r="I277" s="1625">
        <f>'Part II-Development Team'!I74</f>
        <v>0</v>
      </c>
      <c r="J277" s="1625">
        <f>'Part II-Development Team'!J74</f>
        <v>0</v>
      </c>
      <c r="K277" s="1630" t="s">
        <v>2722</v>
      </c>
      <c r="L277" s="1625">
        <f>'Part II-Development Team'!L74</f>
        <v>0</v>
      </c>
      <c r="M277" s="1625">
        <f>'Part II-Development Team'!M74</f>
        <v>0</v>
      </c>
      <c r="N277" s="1625">
        <f>'Part II-Development Team'!N74</f>
        <v>0</v>
      </c>
      <c r="O277" s="1633" t="s">
        <v>1734</v>
      </c>
      <c r="P277" s="1625"/>
      <c r="Q277" s="1646">
        <f>'Part II-Development Team'!Q74</f>
        <v>0</v>
      </c>
      <c r="R277" s="1646">
        <f>'Part II-Development Team'!R74</f>
        <v>0</v>
      </c>
      <c r="S277" s="1646">
        <f>'Part II-Development Team'!S74</f>
        <v>0</v>
      </c>
    </row>
    <row r="278" spans="1:19">
      <c r="A278" s="1625"/>
      <c r="B278" s="1625"/>
      <c r="C278" s="1625"/>
      <c r="D278" s="1625"/>
      <c r="E278" s="1633" t="s">
        <v>1812</v>
      </c>
      <c r="F278" s="1625"/>
      <c r="G278" s="1625"/>
      <c r="H278" s="1633">
        <f>'Part II-Development Team'!H75</f>
        <v>0</v>
      </c>
      <c r="I278" s="1625"/>
      <c r="J278" s="1625"/>
      <c r="K278" s="1630" t="s">
        <v>2245</v>
      </c>
      <c r="L278" s="1645">
        <f>'Part II-Development Team'!L75</f>
        <v>0</v>
      </c>
      <c r="M278" s="1645">
        <f>'Part II-Development Team'!M75</f>
        <v>0</v>
      </c>
      <c r="N278" s="1625"/>
      <c r="O278" s="1633" t="s">
        <v>1995</v>
      </c>
      <c r="P278" s="1625"/>
      <c r="Q278" s="1646">
        <f>'Part II-Development Team'!Q75</f>
        <v>0</v>
      </c>
      <c r="R278" s="1646">
        <f>'Part II-Development Team'!R75</f>
        <v>0</v>
      </c>
      <c r="S278" s="1646">
        <f>'Part II-Development Team'!S75</f>
        <v>0</v>
      </c>
    </row>
    <row r="279" spans="1:19">
      <c r="A279" s="1625"/>
      <c r="B279" s="1625"/>
      <c r="C279" s="1625"/>
      <c r="D279" s="1698"/>
      <c r="E279" s="1633" t="s">
        <v>4315</v>
      </c>
      <c r="F279" s="1625"/>
      <c r="G279" s="1625"/>
      <c r="H279" s="1646">
        <f>'Part II-Development Team'!H76</f>
        <v>0</v>
      </c>
      <c r="I279" s="1646">
        <f>'Part II-Development Team'!I76</f>
        <v>0</v>
      </c>
      <c r="J279" s="1650">
        <f>'Part II-Development Team'!J76</f>
        <v>0</v>
      </c>
      <c r="K279" s="1630" t="s">
        <v>2000</v>
      </c>
      <c r="L279" s="1641">
        <f>'Part II-Development Team'!L76</f>
        <v>0</v>
      </c>
      <c r="M279" s="1641">
        <f>'Part II-Development Team'!M76</f>
        <v>0</v>
      </c>
      <c r="N279" s="1641">
        <f>'Part II-Development Team'!N76</f>
        <v>0</v>
      </c>
      <c r="O279" s="1641">
        <f>'Part II-Development Team'!O76</f>
        <v>0</v>
      </c>
      <c r="P279" s="1641">
        <f>'Part II-Development Team'!P76</f>
        <v>0</v>
      </c>
      <c r="Q279" s="1641">
        <f>'Part II-Development Team'!Q76</f>
        <v>0</v>
      </c>
      <c r="R279" s="1641">
        <f>'Part II-Development Team'!R76</f>
        <v>0</v>
      </c>
      <c r="S279" s="1641">
        <f>'Part II-Development Team'!S76</f>
        <v>0</v>
      </c>
    </row>
    <row r="280" spans="1:19">
      <c r="A280" s="1632"/>
      <c r="B280" s="1632"/>
      <c r="C280" s="1632"/>
      <c r="D280" s="1632"/>
      <c r="E280" s="1632"/>
      <c r="F280" s="1632"/>
      <c r="G280" s="1632"/>
      <c r="H280" s="1632"/>
      <c r="I280" s="1632"/>
      <c r="J280" s="1632"/>
      <c r="K280" s="1632"/>
      <c r="L280" s="1632"/>
      <c r="M280" s="1632"/>
      <c r="N280" s="1632"/>
      <c r="O280" s="1632"/>
      <c r="P280" s="1632"/>
      <c r="Q280" s="1632"/>
      <c r="R280" s="1632"/>
      <c r="S280" s="1632"/>
    </row>
    <row r="281" spans="1:19" ht="13.5">
      <c r="A281" s="1626" t="s">
        <v>750</v>
      </c>
      <c r="B281" s="1626" t="s">
        <v>287</v>
      </c>
      <c r="C281" s="1633"/>
      <c r="D281" s="1626"/>
      <c r="E281" s="1633"/>
      <c r="F281" s="1626"/>
      <c r="G281" s="1626"/>
      <c r="H281" s="1626"/>
      <c r="I281" s="1626"/>
      <c r="J281" s="1626"/>
      <c r="K281" s="1627" t="s">
        <v>4314</v>
      </c>
      <c r="L281" s="1626"/>
      <c r="M281" s="1626"/>
      <c r="N281" s="1633"/>
      <c r="O281" s="1633"/>
      <c r="P281" s="1633"/>
      <c r="Q281" s="1633"/>
      <c r="R281" s="1633"/>
      <c r="S281" s="1633"/>
    </row>
    <row r="282" spans="1:19">
      <c r="A282" s="1626"/>
      <c r="B282" s="1626"/>
      <c r="C282" s="1633"/>
      <c r="D282" s="1626"/>
      <c r="E282" s="1633"/>
      <c r="F282" s="1626"/>
      <c r="G282" s="1626"/>
      <c r="H282" s="1646"/>
      <c r="I282" s="1646"/>
      <c r="J282" s="1646"/>
      <c r="K282" s="1630"/>
      <c r="L282" s="1646"/>
      <c r="M282" s="1646"/>
      <c r="N282" s="1630"/>
      <c r="O282" s="1646"/>
      <c r="P282" s="1646"/>
      <c r="Q282" s="1630"/>
      <c r="R282" s="1646"/>
      <c r="S282" s="1646"/>
    </row>
    <row r="283" spans="1:19">
      <c r="A283" s="1625"/>
      <c r="B283" s="1622" t="s">
        <v>1999</v>
      </c>
      <c r="C283" s="1622" t="s">
        <v>288</v>
      </c>
      <c r="D283" s="1625"/>
      <c r="E283" s="1625"/>
      <c r="F283" s="1625"/>
      <c r="G283" s="1625"/>
      <c r="H283" s="1625">
        <f>'Part II-Development Team'!H80</f>
        <v>0</v>
      </c>
      <c r="I283" s="1625">
        <f>'Part II-Development Team'!I80</f>
        <v>0</v>
      </c>
      <c r="J283" s="1625">
        <f>'Part II-Development Team'!J80</f>
        <v>0</v>
      </c>
      <c r="K283" s="1625">
        <f>'Part II-Development Team'!K80</f>
        <v>0</v>
      </c>
      <c r="L283" s="1625">
        <f>'Part II-Development Team'!L80</f>
        <v>0</v>
      </c>
      <c r="M283" s="1625">
        <f>'Part II-Development Team'!M80</f>
        <v>0</v>
      </c>
      <c r="N283" s="1625">
        <f>'Part II-Development Team'!N80</f>
        <v>0</v>
      </c>
      <c r="O283" s="1633" t="s">
        <v>2005</v>
      </c>
      <c r="P283" s="1633"/>
      <c r="Q283" s="1625">
        <f>'Part II-Development Team'!Q80</f>
        <v>0</v>
      </c>
      <c r="R283" s="1625">
        <f>'Part II-Development Team'!R80</f>
        <v>0</v>
      </c>
      <c r="S283" s="1625">
        <f>'Part II-Development Team'!S80</f>
        <v>0</v>
      </c>
    </row>
    <row r="284" spans="1:19">
      <c r="A284" s="1625"/>
      <c r="B284" s="1625"/>
      <c r="C284" s="1625"/>
      <c r="D284" s="1698"/>
      <c r="E284" s="1633" t="s">
        <v>1031</v>
      </c>
      <c r="F284" s="1636"/>
      <c r="G284" s="1625"/>
      <c r="H284" s="1625">
        <f>'Part II-Development Team'!H81</f>
        <v>0</v>
      </c>
      <c r="I284" s="1625">
        <f>'Part II-Development Team'!I81</f>
        <v>0</v>
      </c>
      <c r="J284" s="1625">
        <f>'Part II-Development Team'!J81</f>
        <v>0</v>
      </c>
      <c r="K284" s="1625">
        <f>'Part II-Development Team'!K81</f>
        <v>0</v>
      </c>
      <c r="L284" s="1625">
        <f>'Part II-Development Team'!L81</f>
        <v>0</v>
      </c>
      <c r="M284" s="1625">
        <f>'Part II-Development Team'!M81</f>
        <v>0</v>
      </c>
      <c r="N284" s="1625">
        <f>'Part II-Development Team'!N81</f>
        <v>0</v>
      </c>
      <c r="O284" s="1633" t="s">
        <v>1760</v>
      </c>
      <c r="P284" s="1625"/>
      <c r="Q284" s="1625">
        <f>'Part II-Development Team'!Q81</f>
        <v>0</v>
      </c>
      <c r="R284" s="1625">
        <f>'Part II-Development Team'!R81</f>
        <v>0</v>
      </c>
      <c r="S284" s="1625">
        <f>'Part II-Development Team'!S81</f>
        <v>0</v>
      </c>
    </row>
    <row r="285" spans="1:19">
      <c r="A285" s="1625"/>
      <c r="B285" s="1625"/>
      <c r="C285" s="1625"/>
      <c r="D285" s="1698"/>
      <c r="E285" s="1633" t="s">
        <v>624</v>
      </c>
      <c r="F285" s="1625"/>
      <c r="G285" s="1625"/>
      <c r="H285" s="1625">
        <f>'Part II-Development Team'!H82</f>
        <v>0</v>
      </c>
      <c r="I285" s="1625">
        <f>'Part II-Development Team'!I82</f>
        <v>0</v>
      </c>
      <c r="J285" s="1625">
        <f>'Part II-Development Team'!J82</f>
        <v>0</v>
      </c>
      <c r="K285" s="1630" t="s">
        <v>2722</v>
      </c>
      <c r="L285" s="1625">
        <f>'Part II-Development Team'!L82</f>
        <v>0</v>
      </c>
      <c r="M285" s="1625">
        <f>'Part II-Development Team'!M82</f>
        <v>0</v>
      </c>
      <c r="N285" s="1625">
        <f>'Part II-Development Team'!N82</f>
        <v>0</v>
      </c>
      <c r="O285" s="1633" t="s">
        <v>1734</v>
      </c>
      <c r="P285" s="1625"/>
      <c r="Q285" s="1646">
        <f>'Part II-Development Team'!Q82</f>
        <v>0</v>
      </c>
      <c r="R285" s="1646">
        <f>'Part II-Development Team'!R82</f>
        <v>0</v>
      </c>
      <c r="S285" s="1646">
        <f>'Part II-Development Team'!S82</f>
        <v>0</v>
      </c>
    </row>
    <row r="286" spans="1:19">
      <c r="A286" s="1625"/>
      <c r="B286" s="1625"/>
      <c r="C286" s="1625"/>
      <c r="D286" s="1625"/>
      <c r="E286" s="1633" t="s">
        <v>1812</v>
      </c>
      <c r="F286" s="1625"/>
      <c r="G286" s="1625"/>
      <c r="H286" s="1633">
        <f>'Part II-Development Team'!H83</f>
        <v>0</v>
      </c>
      <c r="I286" s="1625"/>
      <c r="J286" s="1625"/>
      <c r="K286" s="1630" t="s">
        <v>2245</v>
      </c>
      <c r="L286" s="1645">
        <f>'Part II-Development Team'!L83</f>
        <v>0</v>
      </c>
      <c r="M286" s="1645">
        <f>'Part II-Development Team'!M83</f>
        <v>0</v>
      </c>
      <c r="N286" s="1625"/>
      <c r="O286" s="1633" t="s">
        <v>1995</v>
      </c>
      <c r="P286" s="1625"/>
      <c r="Q286" s="1646">
        <f>'Part II-Development Team'!Q83</f>
        <v>0</v>
      </c>
      <c r="R286" s="1646">
        <f>'Part II-Development Team'!R83</f>
        <v>0</v>
      </c>
      <c r="S286" s="1646">
        <f>'Part II-Development Team'!S83</f>
        <v>0</v>
      </c>
    </row>
    <row r="287" spans="1:19">
      <c r="A287" s="1625"/>
      <c r="B287" s="1625"/>
      <c r="C287" s="1625"/>
      <c r="D287" s="1698"/>
      <c r="E287" s="1633" t="s">
        <v>4315</v>
      </c>
      <c r="F287" s="1625"/>
      <c r="G287" s="1625"/>
      <c r="H287" s="1646">
        <f>'Part II-Development Team'!H84</f>
        <v>0</v>
      </c>
      <c r="I287" s="1646">
        <f>'Part II-Development Team'!I84</f>
        <v>0</v>
      </c>
      <c r="J287" s="1650">
        <f>'Part II-Development Team'!J84</f>
        <v>0</v>
      </c>
      <c r="K287" s="1630" t="s">
        <v>2000</v>
      </c>
      <c r="L287" s="1641">
        <f>'Part II-Development Team'!L84</f>
        <v>0</v>
      </c>
      <c r="M287" s="1641">
        <f>'Part II-Development Team'!M84</f>
        <v>0</v>
      </c>
      <c r="N287" s="1641">
        <f>'Part II-Development Team'!N84</f>
        <v>0</v>
      </c>
      <c r="O287" s="1641">
        <f>'Part II-Development Team'!O84</f>
        <v>0</v>
      </c>
      <c r="P287" s="1641">
        <f>'Part II-Development Team'!P84</f>
        <v>0</v>
      </c>
      <c r="Q287" s="1641">
        <f>'Part II-Development Team'!Q84</f>
        <v>0</v>
      </c>
      <c r="R287" s="1641">
        <f>'Part II-Development Team'!R84</f>
        <v>0</v>
      </c>
      <c r="S287" s="1641">
        <f>'Part II-Development Team'!S84</f>
        <v>0</v>
      </c>
    </row>
    <row r="288" spans="1:19">
      <c r="A288" s="1632"/>
      <c r="B288" s="1632"/>
      <c r="C288" s="1632"/>
      <c r="D288" s="1632"/>
      <c r="E288" s="1632"/>
      <c r="F288" s="1632"/>
      <c r="G288" s="1632"/>
      <c r="H288" s="1646"/>
      <c r="I288" s="1646"/>
      <c r="J288" s="1646"/>
      <c r="K288" s="1630"/>
      <c r="L288" s="1646"/>
      <c r="M288" s="1646"/>
      <c r="N288" s="1630"/>
      <c r="O288" s="1646"/>
      <c r="P288" s="1646"/>
      <c r="Q288" s="1630"/>
      <c r="R288" s="1646"/>
      <c r="S288" s="1646"/>
    </row>
    <row r="289" spans="1:19">
      <c r="A289" s="1625"/>
      <c r="B289" s="1622" t="s">
        <v>2001</v>
      </c>
      <c r="C289" s="1622" t="s">
        <v>289</v>
      </c>
      <c r="D289" s="1625"/>
      <c r="E289" s="1625"/>
      <c r="F289" s="1625"/>
      <c r="G289" s="1625"/>
      <c r="H289" s="1625" t="str">
        <f>'Part II-Development Team'!H86</f>
        <v>TBD through competitive bid process</v>
      </c>
      <c r="I289" s="1625">
        <f>'Part II-Development Team'!I86</f>
        <v>0</v>
      </c>
      <c r="J289" s="1625">
        <f>'Part II-Development Team'!J86</f>
        <v>0</v>
      </c>
      <c r="K289" s="1625">
        <f>'Part II-Development Team'!K86</f>
        <v>0</v>
      </c>
      <c r="L289" s="1625">
        <f>'Part II-Development Team'!L86</f>
        <v>0</v>
      </c>
      <c r="M289" s="1625">
        <f>'Part II-Development Team'!M86</f>
        <v>0</v>
      </c>
      <c r="N289" s="1625">
        <f>'Part II-Development Team'!N86</f>
        <v>0</v>
      </c>
      <c r="O289" s="1633" t="s">
        <v>2005</v>
      </c>
      <c r="P289" s="1633"/>
      <c r="Q289" s="1625">
        <f>'Part II-Development Team'!Q86</f>
        <v>0</v>
      </c>
      <c r="R289" s="1625">
        <f>'Part II-Development Team'!R86</f>
        <v>0</v>
      </c>
      <c r="S289" s="1625">
        <f>'Part II-Development Team'!S86</f>
        <v>0</v>
      </c>
    </row>
    <row r="290" spans="1:19">
      <c r="A290" s="1625"/>
      <c r="B290" s="1625"/>
      <c r="C290" s="1625"/>
      <c r="D290" s="1698"/>
      <c r="E290" s="1633" t="s">
        <v>1031</v>
      </c>
      <c r="F290" s="1636"/>
      <c r="G290" s="1625"/>
      <c r="H290" s="1625">
        <f>'Part II-Development Team'!H87</f>
        <v>0</v>
      </c>
      <c r="I290" s="1625">
        <f>'Part II-Development Team'!I87</f>
        <v>0</v>
      </c>
      <c r="J290" s="1625">
        <f>'Part II-Development Team'!J87</f>
        <v>0</v>
      </c>
      <c r="K290" s="1625">
        <f>'Part II-Development Team'!K87</f>
        <v>0</v>
      </c>
      <c r="L290" s="1625">
        <f>'Part II-Development Team'!L87</f>
        <v>0</v>
      </c>
      <c r="M290" s="1625">
        <f>'Part II-Development Team'!M87</f>
        <v>0</v>
      </c>
      <c r="N290" s="1625">
        <f>'Part II-Development Team'!N87</f>
        <v>0</v>
      </c>
      <c r="O290" s="1633" t="s">
        <v>1760</v>
      </c>
      <c r="P290" s="1625"/>
      <c r="Q290" s="1625">
        <f>'Part II-Development Team'!Q87</f>
        <v>0</v>
      </c>
      <c r="R290" s="1625">
        <f>'Part II-Development Team'!R87</f>
        <v>0</v>
      </c>
      <c r="S290" s="1625">
        <f>'Part II-Development Team'!S87</f>
        <v>0</v>
      </c>
    </row>
    <row r="291" spans="1:19">
      <c r="A291" s="1625"/>
      <c r="B291" s="1625"/>
      <c r="C291" s="1625"/>
      <c r="D291" s="1698"/>
      <c r="E291" s="1633" t="s">
        <v>624</v>
      </c>
      <c r="F291" s="1625"/>
      <c r="G291" s="1625"/>
      <c r="H291" s="1625">
        <f>'Part II-Development Team'!H88</f>
        <v>0</v>
      </c>
      <c r="I291" s="1625">
        <f>'Part II-Development Team'!I88</f>
        <v>0</v>
      </c>
      <c r="J291" s="1625">
        <f>'Part II-Development Team'!J88</f>
        <v>0</v>
      </c>
      <c r="K291" s="1630" t="s">
        <v>2722</v>
      </c>
      <c r="L291" s="1625">
        <f>'Part II-Development Team'!L88</f>
        <v>0</v>
      </c>
      <c r="M291" s="1625">
        <f>'Part II-Development Team'!M88</f>
        <v>0</v>
      </c>
      <c r="N291" s="1625">
        <f>'Part II-Development Team'!N88</f>
        <v>0</v>
      </c>
      <c r="O291" s="1633" t="s">
        <v>1734</v>
      </c>
      <c r="P291" s="1625"/>
      <c r="Q291" s="1646">
        <f>'Part II-Development Team'!Q88</f>
        <v>0</v>
      </c>
      <c r="R291" s="1646">
        <f>'Part II-Development Team'!R88</f>
        <v>0</v>
      </c>
      <c r="S291" s="1646">
        <f>'Part II-Development Team'!S88</f>
        <v>0</v>
      </c>
    </row>
    <row r="292" spans="1:19">
      <c r="A292" s="1625"/>
      <c r="B292" s="1625"/>
      <c r="C292" s="1625"/>
      <c r="D292" s="1625"/>
      <c r="E292" s="1633" t="s">
        <v>1812</v>
      </c>
      <c r="F292" s="1625"/>
      <c r="G292" s="1625"/>
      <c r="H292" s="1633">
        <f>'Part II-Development Team'!H89</f>
        <v>0</v>
      </c>
      <c r="I292" s="1625"/>
      <c r="J292" s="1625"/>
      <c r="K292" s="1630" t="s">
        <v>2245</v>
      </c>
      <c r="L292" s="1645">
        <f>'Part II-Development Team'!L89</f>
        <v>0</v>
      </c>
      <c r="M292" s="1645">
        <f>'Part II-Development Team'!M89</f>
        <v>0</v>
      </c>
      <c r="N292" s="1625"/>
      <c r="O292" s="1633" t="s">
        <v>1995</v>
      </c>
      <c r="P292" s="1625"/>
      <c r="Q292" s="1646">
        <f>'Part II-Development Team'!Q89</f>
        <v>0</v>
      </c>
      <c r="R292" s="1646">
        <f>'Part II-Development Team'!R89</f>
        <v>0</v>
      </c>
      <c r="S292" s="1646">
        <f>'Part II-Development Team'!S89</f>
        <v>0</v>
      </c>
    </row>
    <row r="293" spans="1:19">
      <c r="A293" s="1625"/>
      <c r="B293" s="1625"/>
      <c r="C293" s="1625"/>
      <c r="D293" s="1698"/>
      <c r="E293" s="1633" t="s">
        <v>4315</v>
      </c>
      <c r="F293" s="1625"/>
      <c r="G293" s="1625"/>
      <c r="H293" s="1646">
        <f>'Part II-Development Team'!H90</f>
        <v>0</v>
      </c>
      <c r="I293" s="1646">
        <f>'Part II-Development Team'!I90</f>
        <v>0</v>
      </c>
      <c r="J293" s="1650">
        <f>'Part II-Development Team'!J90</f>
        <v>0</v>
      </c>
      <c r="K293" s="1630" t="s">
        <v>2000</v>
      </c>
      <c r="L293" s="1641">
        <f>'Part II-Development Team'!L90</f>
        <v>0</v>
      </c>
      <c r="M293" s="1641">
        <f>'Part II-Development Team'!M90</f>
        <v>0</v>
      </c>
      <c r="N293" s="1641">
        <f>'Part II-Development Team'!N90</f>
        <v>0</v>
      </c>
      <c r="O293" s="1641">
        <f>'Part II-Development Team'!O90</f>
        <v>0</v>
      </c>
      <c r="P293" s="1641">
        <f>'Part II-Development Team'!P90</f>
        <v>0</v>
      </c>
      <c r="Q293" s="1641">
        <f>'Part II-Development Team'!Q90</f>
        <v>0</v>
      </c>
      <c r="R293" s="1641">
        <f>'Part II-Development Team'!R90</f>
        <v>0</v>
      </c>
      <c r="S293" s="1641">
        <f>'Part II-Development Team'!S90</f>
        <v>0</v>
      </c>
    </row>
    <row r="294" spans="1:19">
      <c r="A294" s="1632"/>
      <c r="B294" s="1632"/>
      <c r="C294" s="1632"/>
      <c r="D294" s="1632"/>
      <c r="E294" s="1632"/>
      <c r="F294" s="1632"/>
      <c r="G294" s="1632"/>
      <c r="H294" s="1646"/>
      <c r="I294" s="1646"/>
      <c r="J294" s="1646"/>
      <c r="K294" s="1630"/>
      <c r="L294" s="1646"/>
      <c r="M294" s="1646"/>
      <c r="N294" s="1630"/>
      <c r="O294" s="1646"/>
      <c r="P294" s="1646"/>
      <c r="Q294" s="1630"/>
      <c r="R294" s="1646"/>
      <c r="S294" s="1646"/>
    </row>
    <row r="295" spans="1:19">
      <c r="A295" s="1625"/>
      <c r="B295" s="1622" t="s">
        <v>757</v>
      </c>
      <c r="C295" s="1622" t="s">
        <v>290</v>
      </c>
      <c r="D295" s="1625"/>
      <c r="E295" s="1625"/>
      <c r="F295" s="1632"/>
      <c r="G295" s="1625"/>
      <c r="H295" s="1625" t="str">
        <f>'Part II-Development Team'!H92</f>
        <v>Macon Housing Authority</v>
      </c>
      <c r="I295" s="1625">
        <f>'Part II-Development Team'!I92</f>
        <v>0</v>
      </c>
      <c r="J295" s="1625">
        <f>'Part II-Development Team'!J92</f>
        <v>0</v>
      </c>
      <c r="K295" s="1625">
        <f>'Part II-Development Team'!K92</f>
        <v>0</v>
      </c>
      <c r="L295" s="1625">
        <f>'Part II-Development Team'!L92</f>
        <v>0</v>
      </c>
      <c r="M295" s="1625">
        <f>'Part II-Development Team'!M92</f>
        <v>0</v>
      </c>
      <c r="N295" s="1625">
        <f>'Part II-Development Team'!N92</f>
        <v>0</v>
      </c>
      <c r="O295" s="1633" t="s">
        <v>2005</v>
      </c>
      <c r="P295" s="1633"/>
      <c r="Q295" s="1625" t="str">
        <f>'Part II-Development Team'!Q92</f>
        <v>Michael T. Austin</v>
      </c>
      <c r="R295" s="1625">
        <f>'Part II-Development Team'!R92</f>
        <v>0</v>
      </c>
      <c r="S295" s="1625">
        <f>'Part II-Development Team'!S92</f>
        <v>0</v>
      </c>
    </row>
    <row r="296" spans="1:19">
      <c r="A296" s="1625"/>
      <c r="B296" s="1625"/>
      <c r="C296" s="1625"/>
      <c r="D296" s="1698"/>
      <c r="E296" s="1633" t="s">
        <v>1031</v>
      </c>
      <c r="F296" s="1636"/>
      <c r="G296" s="1625"/>
      <c r="H296" s="1625" t="str">
        <f>'Part II-Development Team'!H93</f>
        <v>2015 Felton Avenue</v>
      </c>
      <c r="I296" s="1625">
        <f>'Part II-Development Team'!I93</f>
        <v>0</v>
      </c>
      <c r="J296" s="1625">
        <f>'Part II-Development Team'!J93</f>
        <v>0</v>
      </c>
      <c r="K296" s="1625">
        <f>'Part II-Development Team'!K93</f>
        <v>0</v>
      </c>
      <c r="L296" s="1625">
        <f>'Part II-Development Team'!L93</f>
        <v>0</v>
      </c>
      <c r="M296" s="1625">
        <f>'Part II-Development Team'!M93</f>
        <v>0</v>
      </c>
      <c r="N296" s="1625">
        <f>'Part II-Development Team'!N93</f>
        <v>0</v>
      </c>
      <c r="O296" s="1633" t="s">
        <v>1760</v>
      </c>
      <c r="P296" s="1625"/>
      <c r="Q296" s="1625" t="str">
        <f>'Part II-Development Team'!Q93</f>
        <v>CEO</v>
      </c>
      <c r="R296" s="1625">
        <f>'Part II-Development Team'!R93</f>
        <v>0</v>
      </c>
      <c r="S296" s="1625">
        <f>'Part II-Development Team'!S93</f>
        <v>0</v>
      </c>
    </row>
    <row r="297" spans="1:19">
      <c r="A297" s="1625"/>
      <c r="B297" s="1625"/>
      <c r="C297" s="1625"/>
      <c r="D297" s="1698"/>
      <c r="E297" s="1633" t="s">
        <v>624</v>
      </c>
      <c r="F297" s="1625"/>
      <c r="G297" s="1625"/>
      <c r="H297" s="1625" t="str">
        <f>'Part II-Development Team'!H94</f>
        <v xml:space="preserve">Macon  </v>
      </c>
      <c r="I297" s="1625">
        <f>'Part II-Development Team'!I94</f>
        <v>0</v>
      </c>
      <c r="J297" s="1625">
        <f>'Part II-Development Team'!J94</f>
        <v>0</v>
      </c>
      <c r="K297" s="1630" t="s">
        <v>2722</v>
      </c>
      <c r="L297" s="1625">
        <f>'Part II-Development Team'!L94</f>
        <v>0</v>
      </c>
      <c r="M297" s="1625">
        <f>'Part II-Development Team'!M94</f>
        <v>0</v>
      </c>
      <c r="N297" s="1625">
        <f>'Part II-Development Team'!N94</f>
        <v>0</v>
      </c>
      <c r="O297" s="1633" t="s">
        <v>1734</v>
      </c>
      <c r="P297" s="1625"/>
      <c r="Q297" s="1646">
        <f>'Part II-Development Team'!Q94</f>
        <v>4787525070</v>
      </c>
      <c r="R297" s="1646">
        <f>'Part II-Development Team'!R94</f>
        <v>0</v>
      </c>
      <c r="S297" s="1646">
        <f>'Part II-Development Team'!S94</f>
        <v>0</v>
      </c>
    </row>
    <row r="298" spans="1:19">
      <c r="A298" s="1625"/>
      <c r="B298" s="1625"/>
      <c r="C298" s="1625"/>
      <c r="D298" s="1698"/>
      <c r="E298" s="1633" t="s">
        <v>1812</v>
      </c>
      <c r="F298" s="1625"/>
      <c r="G298" s="1625"/>
      <c r="H298" s="1633" t="str">
        <f>'Part II-Development Team'!H95</f>
        <v>GA</v>
      </c>
      <c r="I298" s="1625"/>
      <c r="J298" s="1625"/>
      <c r="K298" s="1630" t="s">
        <v>2245</v>
      </c>
      <c r="L298" s="1645">
        <f>'Part II-Development Team'!L95</f>
        <v>312012404</v>
      </c>
      <c r="M298" s="1645">
        <f>'Part II-Development Team'!M95</f>
        <v>0</v>
      </c>
      <c r="N298" s="1625"/>
      <c r="O298" s="1633" t="s">
        <v>1995</v>
      </c>
      <c r="P298" s="1625"/>
      <c r="Q298" s="1646">
        <f>'Part II-Development Team'!Q95</f>
        <v>4783207044</v>
      </c>
      <c r="R298" s="1646">
        <f>'Part II-Development Team'!R95</f>
        <v>0</v>
      </c>
      <c r="S298" s="1646">
        <f>'Part II-Development Team'!S95</f>
        <v>0</v>
      </c>
    </row>
    <row r="299" spans="1:19">
      <c r="A299" s="1625"/>
      <c r="B299" s="1625"/>
      <c r="C299" s="1625"/>
      <c r="D299" s="1698"/>
      <c r="E299" s="1633" t="s">
        <v>4315</v>
      </c>
      <c r="F299" s="1625"/>
      <c r="G299" s="1625"/>
      <c r="H299" s="1646">
        <f>'Part II-Development Team'!H96</f>
        <v>4787525070</v>
      </c>
      <c r="I299" s="1646">
        <f>'Part II-Development Team'!I96</f>
        <v>0</v>
      </c>
      <c r="J299" s="1650">
        <f>'Part II-Development Team'!J96</f>
        <v>0</v>
      </c>
      <c r="K299" s="1630" t="s">
        <v>2000</v>
      </c>
      <c r="L299" s="1641" t="str">
        <f>'Part II-Development Team'!L96</f>
        <v>maustin@maconhousing.com</v>
      </c>
      <c r="M299" s="1641">
        <f>'Part II-Development Team'!M96</f>
        <v>0</v>
      </c>
      <c r="N299" s="1641">
        <f>'Part II-Development Team'!N96</f>
        <v>0</v>
      </c>
      <c r="O299" s="1641">
        <f>'Part II-Development Team'!O96</f>
        <v>0</v>
      </c>
      <c r="P299" s="1641">
        <f>'Part II-Development Team'!P96</f>
        <v>0</v>
      </c>
      <c r="Q299" s="1641">
        <f>'Part II-Development Team'!Q96</f>
        <v>0</v>
      </c>
      <c r="R299" s="1641">
        <f>'Part II-Development Team'!R96</f>
        <v>0</v>
      </c>
      <c r="S299" s="1641">
        <f>'Part II-Development Team'!S96</f>
        <v>0</v>
      </c>
    </row>
    <row r="300" spans="1:19">
      <c r="A300" s="1632"/>
      <c r="B300" s="1632"/>
      <c r="C300" s="1632"/>
      <c r="D300" s="1632"/>
      <c r="E300" s="1632"/>
      <c r="F300" s="1632"/>
      <c r="G300" s="1632"/>
      <c r="H300" s="1646"/>
      <c r="I300" s="1646"/>
      <c r="J300" s="1646"/>
      <c r="K300" s="1630"/>
      <c r="L300" s="1646"/>
      <c r="M300" s="1646"/>
      <c r="N300" s="1630"/>
      <c r="O300" s="1646"/>
      <c r="P300" s="1646"/>
      <c r="Q300" s="1630"/>
      <c r="R300" s="1646"/>
      <c r="S300" s="1646"/>
    </row>
    <row r="301" spans="1:19">
      <c r="A301" s="1625"/>
      <c r="B301" s="1622" t="s">
        <v>2131</v>
      </c>
      <c r="C301" s="1622" t="s">
        <v>291</v>
      </c>
      <c r="D301" s="1625"/>
      <c r="E301" s="1625"/>
      <c r="F301" s="1625"/>
      <c r="G301" s="1625"/>
      <c r="H301" s="1625" t="str">
        <f>'Part II-Development Team'!H98</f>
        <v>Spivey, Pope, Green &amp; Greer</v>
      </c>
      <c r="I301" s="1625">
        <f>'Part II-Development Team'!I98</f>
        <v>0</v>
      </c>
      <c r="J301" s="1625">
        <f>'Part II-Development Team'!J98</f>
        <v>0</v>
      </c>
      <c r="K301" s="1625">
        <f>'Part II-Development Team'!K98</f>
        <v>0</v>
      </c>
      <c r="L301" s="1625">
        <f>'Part II-Development Team'!L98</f>
        <v>0</v>
      </c>
      <c r="M301" s="1625">
        <f>'Part II-Development Team'!M98</f>
        <v>0</v>
      </c>
      <c r="N301" s="1625">
        <f>'Part II-Development Team'!N98</f>
        <v>0</v>
      </c>
      <c r="O301" s="1633" t="s">
        <v>2005</v>
      </c>
      <c r="P301" s="1633"/>
      <c r="Q301" s="1625" t="str">
        <f>'Part II-Development Team'!Q98</f>
        <v>Scott Spivey</v>
      </c>
      <c r="R301" s="1625">
        <f>'Part II-Development Team'!R98</f>
        <v>0</v>
      </c>
      <c r="S301" s="1625">
        <f>'Part II-Development Team'!S98</f>
        <v>0</v>
      </c>
    </row>
    <row r="302" spans="1:19">
      <c r="A302" s="1625"/>
      <c r="B302" s="1625"/>
      <c r="C302" s="1625"/>
      <c r="D302" s="1698"/>
      <c r="E302" s="1633" t="s">
        <v>1031</v>
      </c>
      <c r="F302" s="1636"/>
      <c r="G302" s="1625"/>
      <c r="H302" s="1625" t="str">
        <f>'Part II-Development Team'!H99</f>
        <v>4875 Riverside Drive, Suite 200</v>
      </c>
      <c r="I302" s="1625">
        <f>'Part II-Development Team'!I99</f>
        <v>0</v>
      </c>
      <c r="J302" s="1625">
        <f>'Part II-Development Team'!J99</f>
        <v>0</v>
      </c>
      <c r="K302" s="1625">
        <f>'Part II-Development Team'!K99</f>
        <v>0</v>
      </c>
      <c r="L302" s="1625">
        <f>'Part II-Development Team'!L99</f>
        <v>0</v>
      </c>
      <c r="M302" s="1625">
        <f>'Part II-Development Team'!M99</f>
        <v>0</v>
      </c>
      <c r="N302" s="1625">
        <f>'Part II-Development Team'!N99</f>
        <v>0</v>
      </c>
      <c r="O302" s="1633" t="s">
        <v>1760</v>
      </c>
      <c r="P302" s="1625"/>
      <c r="Q302" s="1625" t="str">
        <f>'Part II-Development Team'!Q99</f>
        <v>Partner</v>
      </c>
      <c r="R302" s="1625">
        <f>'Part II-Development Team'!R99</f>
        <v>0</v>
      </c>
      <c r="S302" s="1625">
        <f>'Part II-Development Team'!S99</f>
        <v>0</v>
      </c>
    </row>
    <row r="303" spans="1:19">
      <c r="A303" s="1625"/>
      <c r="B303" s="1625"/>
      <c r="C303" s="1625"/>
      <c r="D303" s="1698"/>
      <c r="E303" s="1633" t="s">
        <v>624</v>
      </c>
      <c r="F303" s="1625"/>
      <c r="G303" s="1625"/>
      <c r="H303" s="1625" t="str">
        <f>'Part II-Development Team'!H100</f>
        <v>Macon</v>
      </c>
      <c r="I303" s="1625">
        <f>'Part II-Development Team'!I100</f>
        <v>0</v>
      </c>
      <c r="J303" s="1625">
        <f>'Part II-Development Team'!J100</f>
        <v>0</v>
      </c>
      <c r="K303" s="1630" t="s">
        <v>2722</v>
      </c>
      <c r="L303" s="1625" t="str">
        <f>'Part II-Development Team'!L100</f>
        <v>www.spgglaw.com</v>
      </c>
      <c r="M303" s="1625">
        <f>'Part II-Development Team'!M100</f>
        <v>0</v>
      </c>
      <c r="N303" s="1625">
        <f>'Part II-Development Team'!N100</f>
        <v>0</v>
      </c>
      <c r="O303" s="1633" t="s">
        <v>1734</v>
      </c>
      <c r="P303" s="1625"/>
      <c r="Q303" s="1646">
        <f>'Part II-Development Team'!Q100</f>
        <v>4782547985</v>
      </c>
      <c r="R303" s="1646">
        <f>'Part II-Development Team'!R100</f>
        <v>0</v>
      </c>
      <c r="S303" s="1646">
        <f>'Part II-Development Team'!S100</f>
        <v>0</v>
      </c>
    </row>
    <row r="304" spans="1:19">
      <c r="A304" s="1625"/>
      <c r="B304" s="1625"/>
      <c r="C304" s="1625"/>
      <c r="D304" s="1698"/>
      <c r="E304" s="1633" t="s">
        <v>1812</v>
      </c>
      <c r="F304" s="1625"/>
      <c r="G304" s="1625"/>
      <c r="H304" s="1633" t="str">
        <f>'Part II-Development Team'!H101</f>
        <v>GA</v>
      </c>
      <c r="I304" s="1625"/>
      <c r="J304" s="1625"/>
      <c r="K304" s="1630" t="s">
        <v>2245</v>
      </c>
      <c r="L304" s="1645">
        <f>'Part II-Development Team'!L101</f>
        <v>312010000</v>
      </c>
      <c r="M304" s="1645">
        <f>'Part II-Development Team'!M101</f>
        <v>0</v>
      </c>
      <c r="N304" s="1625"/>
      <c r="O304" s="1633" t="s">
        <v>1995</v>
      </c>
      <c r="P304" s="1625"/>
      <c r="Q304" s="1646">
        <f>'Part II-Development Team'!Q101</f>
        <v>4782561808</v>
      </c>
      <c r="R304" s="1646">
        <f>'Part II-Development Team'!R101</f>
        <v>0</v>
      </c>
      <c r="S304" s="1646">
        <f>'Part II-Development Team'!S101</f>
        <v>0</v>
      </c>
    </row>
    <row r="305" spans="1:19">
      <c r="A305" s="1632"/>
      <c r="B305" s="1632"/>
      <c r="C305" s="1632"/>
      <c r="D305" s="1632"/>
      <c r="E305" s="1633" t="s">
        <v>4315</v>
      </c>
      <c r="F305" s="1625"/>
      <c r="G305" s="1625"/>
      <c r="H305" s="1646">
        <f>'Part II-Development Team'!H102</f>
        <v>4788548866</v>
      </c>
      <c r="I305" s="1646">
        <f>'Part II-Development Team'!I102</f>
        <v>0</v>
      </c>
      <c r="J305" s="1650">
        <f>'Part II-Development Team'!J102</f>
        <v>0</v>
      </c>
      <c r="K305" s="1630" t="s">
        <v>2000</v>
      </c>
      <c r="L305" s="1641" t="str">
        <f>'Part II-Development Team'!L102</f>
        <v>sspivey@spgglaw.com</v>
      </c>
      <c r="M305" s="1641">
        <f>'Part II-Development Team'!M102</f>
        <v>0</v>
      </c>
      <c r="N305" s="1641">
        <f>'Part II-Development Team'!N102</f>
        <v>0</v>
      </c>
      <c r="O305" s="1641">
        <f>'Part II-Development Team'!O102</f>
        <v>0</v>
      </c>
      <c r="P305" s="1641">
        <f>'Part II-Development Team'!P102</f>
        <v>0</v>
      </c>
      <c r="Q305" s="1641">
        <f>'Part II-Development Team'!Q102</f>
        <v>0</v>
      </c>
      <c r="R305" s="1641">
        <f>'Part II-Development Team'!R102</f>
        <v>0</v>
      </c>
      <c r="S305" s="1641">
        <f>'Part II-Development Team'!S102</f>
        <v>0</v>
      </c>
    </row>
    <row r="306" spans="1:19">
      <c r="A306" s="1632"/>
      <c r="B306" s="1632"/>
      <c r="C306" s="1632"/>
      <c r="D306" s="1632"/>
      <c r="E306" s="1633"/>
      <c r="F306" s="1625"/>
      <c r="G306" s="1625"/>
      <c r="H306" s="1646"/>
      <c r="I306" s="1646"/>
      <c r="J306" s="1646"/>
      <c r="K306" s="1630"/>
      <c r="L306" s="1646"/>
      <c r="M306" s="1646"/>
      <c r="N306" s="1630"/>
      <c r="O306" s="1646"/>
      <c r="P306" s="1646"/>
      <c r="Q306" s="1630"/>
      <c r="R306" s="1646"/>
      <c r="S306" s="1646"/>
    </row>
    <row r="307" spans="1:19">
      <c r="A307" s="1625"/>
      <c r="B307" s="1622" t="s">
        <v>1748</v>
      </c>
      <c r="C307" s="1622" t="s">
        <v>292</v>
      </c>
      <c r="D307" s="1625"/>
      <c r="E307" s="1625"/>
      <c r="F307" s="1625"/>
      <c r="G307" s="1625"/>
      <c r="H307" s="1625" t="str">
        <f>'Part II-Development Team'!H104</f>
        <v>Aprio, LLP</v>
      </c>
      <c r="I307" s="1625">
        <f>'Part II-Development Team'!I104</f>
        <v>0</v>
      </c>
      <c r="J307" s="1625">
        <f>'Part II-Development Team'!J104</f>
        <v>0</v>
      </c>
      <c r="K307" s="1625">
        <f>'Part II-Development Team'!K104</f>
        <v>0</v>
      </c>
      <c r="L307" s="1625">
        <f>'Part II-Development Team'!L104</f>
        <v>0</v>
      </c>
      <c r="M307" s="1625">
        <f>'Part II-Development Team'!M104</f>
        <v>0</v>
      </c>
      <c r="N307" s="1625">
        <f>'Part II-Development Team'!N104</f>
        <v>0</v>
      </c>
      <c r="O307" s="1633" t="s">
        <v>2005</v>
      </c>
      <c r="P307" s="1633"/>
      <c r="Q307" s="1625" t="str">
        <f>'Part II-Development Team'!Q104</f>
        <v>Frank Gudger</v>
      </c>
      <c r="R307" s="1625">
        <f>'Part II-Development Team'!R104</f>
        <v>0</v>
      </c>
      <c r="S307" s="1625">
        <f>'Part II-Development Team'!S104</f>
        <v>0</v>
      </c>
    </row>
    <row r="308" spans="1:19">
      <c r="A308" s="1625"/>
      <c r="B308" s="1625"/>
      <c r="C308" s="1625"/>
      <c r="D308" s="1698"/>
      <c r="E308" s="1633" t="s">
        <v>1031</v>
      </c>
      <c r="F308" s="1636"/>
      <c r="G308" s="1625"/>
      <c r="H308" s="1625" t="str">
        <f>'Part II-Development Team'!H105</f>
        <v>5 Concourse Parkway, Suite 200</v>
      </c>
      <c r="I308" s="1625">
        <f>'Part II-Development Team'!I105</f>
        <v>0</v>
      </c>
      <c r="J308" s="1625">
        <f>'Part II-Development Team'!J105</f>
        <v>0</v>
      </c>
      <c r="K308" s="1625">
        <f>'Part II-Development Team'!K105</f>
        <v>0</v>
      </c>
      <c r="L308" s="1625">
        <f>'Part II-Development Team'!L105</f>
        <v>0</v>
      </c>
      <c r="M308" s="1625">
        <f>'Part II-Development Team'!M105</f>
        <v>0</v>
      </c>
      <c r="N308" s="1625">
        <f>'Part II-Development Team'!N105</f>
        <v>0</v>
      </c>
      <c r="O308" s="1633" t="s">
        <v>1760</v>
      </c>
      <c r="P308" s="1625"/>
      <c r="Q308" s="1625" t="str">
        <f>'Part II-Development Team'!Q105</f>
        <v>Partner</v>
      </c>
      <c r="R308" s="1625">
        <f>'Part II-Development Team'!R105</f>
        <v>0</v>
      </c>
      <c r="S308" s="1625">
        <f>'Part II-Development Team'!S105</f>
        <v>0</v>
      </c>
    </row>
    <row r="309" spans="1:19">
      <c r="A309" s="1625"/>
      <c r="B309" s="1625"/>
      <c r="C309" s="1625"/>
      <c r="D309" s="1698"/>
      <c r="E309" s="1633" t="s">
        <v>624</v>
      </c>
      <c r="F309" s="1625"/>
      <c r="G309" s="1625"/>
      <c r="H309" s="1625" t="str">
        <f>'Part II-Development Team'!H106</f>
        <v>Atlanta</v>
      </c>
      <c r="I309" s="1625">
        <f>'Part II-Development Team'!I106</f>
        <v>0</v>
      </c>
      <c r="J309" s="1625">
        <f>'Part II-Development Team'!J106</f>
        <v>0</v>
      </c>
      <c r="K309" s="1630" t="s">
        <v>2722</v>
      </c>
      <c r="L309" s="1625" t="str">
        <f>'Part II-Development Team'!L106</f>
        <v>www.aprio.com</v>
      </c>
      <c r="M309" s="1625">
        <f>'Part II-Development Team'!M106</f>
        <v>0</v>
      </c>
      <c r="N309" s="1625">
        <f>'Part II-Development Team'!N106</f>
        <v>0</v>
      </c>
      <c r="O309" s="1633" t="s">
        <v>1734</v>
      </c>
      <c r="P309" s="1625"/>
      <c r="Q309" s="1646">
        <f>'Part II-Development Team'!Q106</f>
        <v>4048929651</v>
      </c>
      <c r="R309" s="1646">
        <f>'Part II-Development Team'!R106</f>
        <v>0</v>
      </c>
      <c r="S309" s="1646">
        <f>'Part II-Development Team'!S106</f>
        <v>0</v>
      </c>
    </row>
    <row r="310" spans="1:19">
      <c r="A310" s="1625"/>
      <c r="B310" s="1625"/>
      <c r="C310" s="1625"/>
      <c r="D310" s="1698"/>
      <c r="E310" s="1633" t="s">
        <v>1812</v>
      </c>
      <c r="F310" s="1625"/>
      <c r="G310" s="1625"/>
      <c r="H310" s="1633" t="str">
        <f>'Part II-Development Team'!H107</f>
        <v>GA</v>
      </c>
      <c r="I310" s="1625"/>
      <c r="J310" s="1625"/>
      <c r="K310" s="1630" t="s">
        <v>2245</v>
      </c>
      <c r="L310" s="1645">
        <f>'Part II-Development Team'!L107</f>
        <v>303285350</v>
      </c>
      <c r="M310" s="1645">
        <f>'Part II-Development Team'!M107</f>
        <v>0</v>
      </c>
      <c r="N310" s="1625"/>
      <c r="O310" s="1633" t="s">
        <v>1995</v>
      </c>
      <c r="P310" s="1625"/>
      <c r="Q310" s="1646">
        <f>'Part II-Development Team'!Q107</f>
        <v>6793620453</v>
      </c>
      <c r="R310" s="1646">
        <f>'Part II-Development Team'!R107</f>
        <v>0</v>
      </c>
      <c r="S310" s="1646">
        <f>'Part II-Development Team'!S107</f>
        <v>0</v>
      </c>
    </row>
    <row r="311" spans="1:19">
      <c r="A311" s="1632"/>
      <c r="B311" s="1632"/>
      <c r="C311" s="1632"/>
      <c r="D311" s="1632"/>
      <c r="E311" s="1633" t="s">
        <v>4315</v>
      </c>
      <c r="F311" s="1625"/>
      <c r="G311" s="1625"/>
      <c r="H311" s="1646">
        <f>'Part II-Development Team'!H108</f>
        <v>4048988244</v>
      </c>
      <c r="I311" s="1646">
        <f>'Part II-Development Team'!I108</f>
        <v>0</v>
      </c>
      <c r="J311" s="1650">
        <f>'Part II-Development Team'!J108</f>
        <v>0</v>
      </c>
      <c r="K311" s="1630" t="s">
        <v>2000</v>
      </c>
      <c r="L311" s="1641" t="str">
        <f>'Part II-Development Team'!L108</f>
        <v>frank.gudger@hawcpa.com</v>
      </c>
      <c r="M311" s="1641">
        <f>'Part II-Development Team'!M108</f>
        <v>0</v>
      </c>
      <c r="N311" s="1641">
        <f>'Part II-Development Team'!N108</f>
        <v>0</v>
      </c>
      <c r="O311" s="1641">
        <f>'Part II-Development Team'!O108</f>
        <v>0</v>
      </c>
      <c r="P311" s="1641">
        <f>'Part II-Development Team'!P108</f>
        <v>0</v>
      </c>
      <c r="Q311" s="1641">
        <f>'Part II-Development Team'!Q108</f>
        <v>0</v>
      </c>
      <c r="R311" s="1641">
        <f>'Part II-Development Team'!R108</f>
        <v>0</v>
      </c>
      <c r="S311" s="1641">
        <f>'Part II-Development Team'!S108</f>
        <v>0</v>
      </c>
    </row>
    <row r="312" spans="1:19">
      <c r="A312" s="1632"/>
      <c r="B312" s="1632"/>
      <c r="C312" s="1632"/>
      <c r="D312" s="1632"/>
      <c r="E312" s="1633"/>
      <c r="F312" s="1625"/>
      <c r="G312" s="1625"/>
      <c r="H312" s="1646"/>
      <c r="I312" s="1646"/>
      <c r="J312" s="1646"/>
      <c r="K312" s="1630"/>
      <c r="L312" s="1646"/>
      <c r="M312" s="1646"/>
      <c r="N312" s="1630"/>
      <c r="O312" s="1646"/>
      <c r="P312" s="1646"/>
      <c r="Q312" s="1630"/>
      <c r="R312" s="1646"/>
      <c r="S312" s="1646"/>
    </row>
    <row r="313" spans="1:19">
      <c r="A313" s="1625"/>
      <c r="B313" s="1622" t="s">
        <v>1749</v>
      </c>
      <c r="C313" s="1622" t="s">
        <v>293</v>
      </c>
      <c r="D313" s="1625"/>
      <c r="E313" s="1625"/>
      <c r="F313" s="1625"/>
      <c r="G313" s="1625"/>
      <c r="H313" s="1625" t="str">
        <f>'Part II-Development Team'!H110</f>
        <v>BTBB Architects</v>
      </c>
      <c r="I313" s="1625">
        <f>'Part II-Development Team'!I110</f>
        <v>0</v>
      </c>
      <c r="J313" s="1625">
        <f>'Part II-Development Team'!J110</f>
        <v>0</v>
      </c>
      <c r="K313" s="1625">
        <f>'Part II-Development Team'!K110</f>
        <v>0</v>
      </c>
      <c r="L313" s="1625">
        <f>'Part II-Development Team'!L110</f>
        <v>0</v>
      </c>
      <c r="M313" s="1625">
        <f>'Part II-Development Team'!M110</f>
        <v>0</v>
      </c>
      <c r="N313" s="1625">
        <f>'Part II-Development Team'!N110</f>
        <v>0</v>
      </c>
      <c r="O313" s="1633" t="s">
        <v>2005</v>
      </c>
      <c r="P313" s="1633"/>
      <c r="Q313" s="1625" t="str">
        <f>'Part II-Development Team'!Q110</f>
        <v>Bob Brown</v>
      </c>
      <c r="R313" s="1625">
        <f>'Part II-Development Team'!R110</f>
        <v>0</v>
      </c>
      <c r="S313" s="1625">
        <f>'Part II-Development Team'!S110</f>
        <v>0</v>
      </c>
    </row>
    <row r="314" spans="1:19">
      <c r="A314" s="1625"/>
      <c r="B314" s="1625"/>
      <c r="C314" s="1625"/>
      <c r="D314" s="1698"/>
      <c r="E314" s="1633" t="s">
        <v>1031</v>
      </c>
      <c r="F314" s="1636"/>
      <c r="G314" s="1625"/>
      <c r="H314" s="1625" t="str">
        <f>'Part II-Development Team'!H111</f>
        <v>609 Cherry Street</v>
      </c>
      <c r="I314" s="1625">
        <f>'Part II-Development Team'!I111</f>
        <v>0</v>
      </c>
      <c r="J314" s="1625">
        <f>'Part II-Development Team'!J111</f>
        <v>0</v>
      </c>
      <c r="K314" s="1625">
        <f>'Part II-Development Team'!K111</f>
        <v>0</v>
      </c>
      <c r="L314" s="1625">
        <f>'Part II-Development Team'!L111</f>
        <v>0</v>
      </c>
      <c r="M314" s="1625">
        <f>'Part II-Development Team'!M111</f>
        <v>0</v>
      </c>
      <c r="N314" s="1625">
        <f>'Part II-Development Team'!N111</f>
        <v>0</v>
      </c>
      <c r="O314" s="1633" t="s">
        <v>1760</v>
      </c>
      <c r="P314" s="1625"/>
      <c r="Q314" s="1625" t="str">
        <f>'Part II-Development Team'!Q111</f>
        <v>Principal</v>
      </c>
      <c r="R314" s="1625">
        <f>'Part II-Development Team'!R111</f>
        <v>0</v>
      </c>
      <c r="S314" s="1625">
        <f>'Part II-Development Team'!S111</f>
        <v>0</v>
      </c>
    </row>
    <row r="315" spans="1:19">
      <c r="A315" s="1625"/>
      <c r="B315" s="1625"/>
      <c r="C315" s="1625"/>
      <c r="D315" s="1698"/>
      <c r="E315" s="1633" t="s">
        <v>624</v>
      </c>
      <c r="F315" s="1625"/>
      <c r="G315" s="1625"/>
      <c r="H315" s="1625" t="str">
        <f>'Part II-Development Team'!H112</f>
        <v>Macon</v>
      </c>
      <c r="I315" s="1625">
        <f>'Part II-Development Team'!I112</f>
        <v>0</v>
      </c>
      <c r="J315" s="1625">
        <f>'Part II-Development Team'!J112</f>
        <v>0</v>
      </c>
      <c r="K315" s="1630" t="s">
        <v>2722</v>
      </c>
      <c r="L315" s="1625" t="str">
        <f>'Part II-Development Team'!L112</f>
        <v>www.btbbinc.com</v>
      </c>
      <c r="M315" s="1625">
        <f>'Part II-Development Team'!M112</f>
        <v>0</v>
      </c>
      <c r="N315" s="1625">
        <f>'Part II-Development Team'!N112</f>
        <v>0</v>
      </c>
      <c r="O315" s="1633" t="s">
        <v>1734</v>
      </c>
      <c r="P315" s="1625"/>
      <c r="Q315" s="1646">
        <f>'Part II-Development Team'!Q112</f>
        <v>4787421208</v>
      </c>
      <c r="R315" s="1646">
        <f>'Part II-Development Team'!R112</f>
        <v>0</v>
      </c>
      <c r="S315" s="1646">
        <f>'Part II-Development Team'!S112</f>
        <v>0</v>
      </c>
    </row>
    <row r="316" spans="1:19">
      <c r="A316" s="1625"/>
      <c r="B316" s="1625"/>
      <c r="C316" s="1625"/>
      <c r="D316" s="1698"/>
      <c r="E316" s="1633" t="s">
        <v>1812</v>
      </c>
      <c r="F316" s="1625"/>
      <c r="G316" s="1625"/>
      <c r="H316" s="1633" t="str">
        <f>'Part II-Development Team'!H113</f>
        <v>GA</v>
      </c>
      <c r="I316" s="1625"/>
      <c r="J316" s="1625"/>
      <c r="K316" s="1630" t="s">
        <v>2245</v>
      </c>
      <c r="L316" s="1645">
        <f>'Part II-Development Team'!L113</f>
        <v>312017398</v>
      </c>
      <c r="M316" s="1645">
        <f>'Part II-Development Team'!M113</f>
        <v>0</v>
      </c>
      <c r="N316" s="1625"/>
      <c r="O316" s="1633" t="s">
        <v>1995</v>
      </c>
      <c r="P316" s="1625"/>
      <c r="Q316" s="1646">
        <f>'Part II-Development Team'!Q113</f>
        <v>4783613120</v>
      </c>
      <c r="R316" s="1646">
        <f>'Part II-Development Team'!R113</f>
        <v>0</v>
      </c>
      <c r="S316" s="1646">
        <f>'Part II-Development Team'!S113</f>
        <v>0</v>
      </c>
    </row>
    <row r="317" spans="1:19">
      <c r="A317" s="1625"/>
      <c r="B317" s="1625"/>
      <c r="C317" s="1625"/>
      <c r="D317" s="1698"/>
      <c r="E317" s="1633" t="s">
        <v>4315</v>
      </c>
      <c r="F317" s="1625"/>
      <c r="G317" s="1625"/>
      <c r="H317" s="1646">
        <f>'Part II-Development Team'!H114</f>
        <v>4787421208</v>
      </c>
      <c r="I317" s="1646">
        <f>'Part II-Development Team'!I114</f>
        <v>0</v>
      </c>
      <c r="J317" s="1650">
        <f>'Part II-Development Team'!J114</f>
        <v>0</v>
      </c>
      <c r="K317" s="1630" t="s">
        <v>2000</v>
      </c>
      <c r="L317" s="1641" t="str">
        <f>'Part II-Development Team'!L114</f>
        <v>bbrown@btbbinc.com</v>
      </c>
      <c r="M317" s="1641">
        <f>'Part II-Development Team'!M114</f>
        <v>0</v>
      </c>
      <c r="N317" s="1641">
        <f>'Part II-Development Team'!N114</f>
        <v>0</v>
      </c>
      <c r="O317" s="1641">
        <f>'Part II-Development Team'!O114</f>
        <v>0</v>
      </c>
      <c r="P317" s="1641">
        <f>'Part II-Development Team'!P114</f>
        <v>0</v>
      </c>
      <c r="Q317" s="1641">
        <f>'Part II-Development Team'!Q114</f>
        <v>0</v>
      </c>
      <c r="R317" s="1641">
        <f>'Part II-Development Team'!R114</f>
        <v>0</v>
      </c>
      <c r="S317" s="1641">
        <f>'Part II-Development Team'!S114</f>
        <v>0</v>
      </c>
    </row>
    <row r="318" spans="1:19">
      <c r="A318" s="1632"/>
      <c r="B318" s="1632"/>
      <c r="C318" s="1632"/>
      <c r="D318" s="1632"/>
      <c r="E318" s="1632"/>
      <c r="F318" s="1632"/>
      <c r="G318" s="1632"/>
      <c r="H318" s="1632"/>
      <c r="I318" s="1632"/>
      <c r="J318" s="1632"/>
      <c r="K318" s="1632"/>
      <c r="L318" s="1632"/>
      <c r="M318" s="1632"/>
      <c r="N318" s="1632"/>
      <c r="O318" s="1632"/>
      <c r="P318" s="1632"/>
      <c r="Q318" s="1632"/>
      <c r="R318" s="1632"/>
      <c r="S318" s="1632"/>
    </row>
    <row r="319" spans="1:19">
      <c r="A319" s="1622" t="s">
        <v>1805</v>
      </c>
      <c r="B319" s="1622" t="s">
        <v>2620</v>
      </c>
      <c r="C319" s="1625"/>
      <c r="D319" s="1625"/>
      <c r="E319" s="1625"/>
      <c r="F319" s="1622"/>
      <c r="G319" s="1630"/>
      <c r="H319" s="1630"/>
      <c r="I319" s="1630"/>
      <c r="J319" s="1630"/>
      <c r="K319" s="1630"/>
      <c r="L319" s="1630"/>
      <c r="M319" s="1630"/>
      <c r="N319" s="1630"/>
      <c r="O319" s="1630"/>
      <c r="P319" s="1630"/>
      <c r="Q319" s="1630"/>
      <c r="R319" s="1625"/>
      <c r="S319" s="1625"/>
    </row>
    <row r="320" spans="1:19">
      <c r="A320" s="1625"/>
      <c r="B320" s="1622" t="s">
        <v>1999</v>
      </c>
      <c r="C320" s="1622" t="s">
        <v>4750</v>
      </c>
      <c r="D320" s="1625"/>
      <c r="E320" s="1625"/>
      <c r="F320" s="1625"/>
      <c r="G320" s="1625"/>
      <c r="H320" s="1625" t="str">
        <f>'Part II-Development Team'!H117</f>
        <v>NA</v>
      </c>
      <c r="I320" s="1625">
        <f>'Part II-Development Team'!I117</f>
        <v>0</v>
      </c>
      <c r="J320" s="1625">
        <f>'Part II-Development Team'!J117</f>
        <v>0</v>
      </c>
      <c r="K320" s="1630" t="s">
        <v>2490</v>
      </c>
      <c r="L320" s="1625">
        <f>'Part II-Development Team'!L117</f>
        <v>0</v>
      </c>
      <c r="M320" s="1625">
        <f>'Part II-Development Team'!M117</f>
        <v>0</v>
      </c>
      <c r="N320" s="1625">
        <f>'Part II-Development Team'!N117</f>
        <v>0</v>
      </c>
      <c r="O320" s="1633" t="s">
        <v>3602</v>
      </c>
      <c r="P320" s="1625"/>
      <c r="Q320" s="1625">
        <f>'Part II-Development Team'!Q117</f>
        <v>0</v>
      </c>
      <c r="R320" s="1625">
        <f>'Part II-Development Team'!R117</f>
        <v>0</v>
      </c>
      <c r="S320" s="1625">
        <f>'Part II-Development Team'!S117</f>
        <v>0</v>
      </c>
    </row>
    <row r="321" spans="1:19">
      <c r="A321" s="1625"/>
      <c r="B321" s="1625"/>
      <c r="C321" s="1625"/>
      <c r="D321" s="1698"/>
      <c r="E321" s="1633" t="s">
        <v>1031</v>
      </c>
      <c r="F321" s="1636"/>
      <c r="G321" s="1625"/>
      <c r="H321" s="1625">
        <f>'Part II-Development Team'!H118</f>
        <v>0</v>
      </c>
      <c r="I321" s="1625">
        <f>'Part II-Development Team'!I118</f>
        <v>0</v>
      </c>
      <c r="J321" s="1625">
        <f>'Part II-Development Team'!J118</f>
        <v>0</v>
      </c>
      <c r="K321" s="1625">
        <f>'Part II-Development Team'!K118</f>
        <v>0</v>
      </c>
      <c r="L321" s="1625">
        <f>'Part II-Development Team'!L118</f>
        <v>0</v>
      </c>
      <c r="M321" s="1625">
        <f>'Part II-Development Team'!M118</f>
        <v>0</v>
      </c>
      <c r="N321" s="1625">
        <f>'Part II-Development Team'!N118</f>
        <v>0</v>
      </c>
      <c r="O321" s="1633" t="s">
        <v>624</v>
      </c>
      <c r="P321" s="1625"/>
      <c r="Q321" s="1625">
        <f>'Part II-Development Team'!Q118</f>
        <v>0</v>
      </c>
      <c r="R321" s="1625">
        <f>'Part II-Development Team'!R118</f>
        <v>0</v>
      </c>
      <c r="S321" s="1625">
        <f>'Part II-Development Team'!S118</f>
        <v>0</v>
      </c>
    </row>
    <row r="322" spans="1:19">
      <c r="A322" s="1625"/>
      <c r="B322" s="1625"/>
      <c r="C322" s="1625"/>
      <c r="D322" s="1698"/>
      <c r="E322" s="1633" t="s">
        <v>1812</v>
      </c>
      <c r="F322" s="1625"/>
      <c r="G322" s="1625"/>
      <c r="H322" s="1633">
        <f>'Part II-Development Team'!H119</f>
        <v>0</v>
      </c>
      <c r="I322" s="1630" t="s">
        <v>2245</v>
      </c>
      <c r="J322" s="1645">
        <f>'Part II-Development Team'!J119</f>
        <v>0</v>
      </c>
      <c r="K322" s="1645">
        <f>'Part II-Development Team'!K119</f>
        <v>0</v>
      </c>
      <c r="L322" s="1630" t="s">
        <v>2000</v>
      </c>
      <c r="M322" s="1641">
        <f>'Part II-Development Team'!M119</f>
        <v>0</v>
      </c>
      <c r="N322" s="1641">
        <f>'Part II-Development Team'!N119</f>
        <v>0</v>
      </c>
      <c r="O322" s="1641">
        <f>'Part II-Development Team'!O119</f>
        <v>0</v>
      </c>
      <c r="P322" s="1641">
        <f>'Part II-Development Team'!P119</f>
        <v>0</v>
      </c>
      <c r="Q322" s="1641">
        <f>'Part II-Development Team'!Q119</f>
        <v>0</v>
      </c>
      <c r="R322" s="1641">
        <f>'Part II-Development Team'!R119</f>
        <v>0</v>
      </c>
      <c r="S322" s="1641">
        <f>'Part II-Development Team'!S119</f>
        <v>0</v>
      </c>
    </row>
    <row r="323" spans="1:19">
      <c r="A323" s="1632"/>
      <c r="B323" s="1622" t="s">
        <v>2001</v>
      </c>
      <c r="C323" s="1622" t="s">
        <v>2853</v>
      </c>
      <c r="D323" s="1632"/>
      <c r="E323" s="1632"/>
      <c r="F323" s="1632"/>
      <c r="G323" s="1632"/>
      <c r="H323" s="1621"/>
      <c r="I323" s="1621"/>
      <c r="J323" s="1621"/>
      <c r="K323" s="1621"/>
      <c r="L323" s="1621"/>
      <c r="M323" s="1621"/>
      <c r="N323" s="1621"/>
      <c r="O323" s="1621"/>
      <c r="P323" s="1621"/>
      <c r="Q323" s="1621"/>
      <c r="R323" s="1621"/>
      <c r="S323" s="1621"/>
    </row>
    <row r="324" spans="1:19" ht="12.75" customHeight="1">
      <c r="A324" s="1704" t="s">
        <v>3911</v>
      </c>
      <c r="B324" s="1704"/>
      <c r="C324" s="1704"/>
      <c r="D324" s="1704"/>
      <c r="E324" s="1704"/>
      <c r="F324" s="1650" t="s">
        <v>2527</v>
      </c>
      <c r="G324" s="1639" t="s">
        <v>3501</v>
      </c>
      <c r="H324" s="1639"/>
      <c r="I324" s="1639"/>
      <c r="J324" s="1639"/>
      <c r="K324" s="1639"/>
      <c r="L324" s="1639"/>
      <c r="M324" s="1639"/>
      <c r="N324" s="1639"/>
      <c r="O324" s="1639"/>
      <c r="P324" s="1639"/>
      <c r="Q324" s="1639"/>
      <c r="R324" s="1639"/>
      <c r="S324" s="1639"/>
    </row>
    <row r="325" spans="1:19" ht="12.75" customHeight="1">
      <c r="A325" s="1625"/>
      <c r="B325" s="1687"/>
      <c r="C325" s="1705" t="s">
        <v>2002</v>
      </c>
      <c r="D325" s="1621" t="s">
        <v>2854</v>
      </c>
      <c r="E325" s="1621"/>
      <c r="F325" s="1706" t="str">
        <f>'Part II-Development Team'!F122</f>
        <v>No</v>
      </c>
      <c r="G325" s="1707">
        <f>'Part II-Development Team'!G122</f>
        <v>0</v>
      </c>
      <c r="H325" s="1707">
        <f>'Part II-Development Team'!H122</f>
        <v>0</v>
      </c>
      <c r="I325" s="1707">
        <f>'Part II-Development Team'!I122</f>
        <v>0</v>
      </c>
      <c r="J325" s="1707">
        <f>'Part II-Development Team'!J122</f>
        <v>0</v>
      </c>
      <c r="K325" s="1707">
        <f>'Part II-Development Team'!K122</f>
        <v>0</v>
      </c>
      <c r="L325" s="1707">
        <f>'Part II-Development Team'!L122</f>
        <v>0</v>
      </c>
      <c r="M325" s="1707">
        <f>'Part II-Development Team'!M122</f>
        <v>0</v>
      </c>
      <c r="N325" s="1707">
        <f>'Part II-Development Team'!N122</f>
        <v>0</v>
      </c>
      <c r="O325" s="1707">
        <f>'Part II-Development Team'!O122</f>
        <v>0</v>
      </c>
      <c r="P325" s="1707">
        <f>'Part II-Development Team'!P122</f>
        <v>0</v>
      </c>
      <c r="Q325" s="1707">
        <f>'Part II-Development Team'!Q122</f>
        <v>0</v>
      </c>
      <c r="R325" s="1707">
        <f>'Part II-Development Team'!R122</f>
        <v>0</v>
      </c>
      <c r="S325" s="1707">
        <f>'Part II-Development Team'!S122</f>
        <v>0</v>
      </c>
    </row>
    <row r="326" spans="1:19" ht="12.75" customHeight="1">
      <c r="A326" s="1625"/>
      <c r="B326" s="1687"/>
      <c r="C326" s="1705" t="s">
        <v>2004</v>
      </c>
      <c r="D326" s="1621" t="s">
        <v>2920</v>
      </c>
      <c r="E326" s="1621"/>
      <c r="F326" s="1706" t="str">
        <f>'Part II-Development Team'!F123</f>
        <v>No</v>
      </c>
      <c r="G326" s="1707">
        <f>'Part II-Development Team'!G123</f>
        <v>0</v>
      </c>
      <c r="H326" s="1707">
        <f>'Part II-Development Team'!H123</f>
        <v>0</v>
      </c>
      <c r="I326" s="1707">
        <f>'Part II-Development Team'!I123</f>
        <v>0</v>
      </c>
      <c r="J326" s="1707">
        <f>'Part II-Development Team'!J123</f>
        <v>0</v>
      </c>
      <c r="K326" s="1707">
        <f>'Part II-Development Team'!K123</f>
        <v>0</v>
      </c>
      <c r="L326" s="1707">
        <f>'Part II-Development Team'!L123</f>
        <v>0</v>
      </c>
      <c r="M326" s="1707">
        <f>'Part II-Development Team'!M123</f>
        <v>0</v>
      </c>
      <c r="N326" s="1707">
        <f>'Part II-Development Team'!N123</f>
        <v>0</v>
      </c>
      <c r="O326" s="1707">
        <f>'Part II-Development Team'!O123</f>
        <v>0</v>
      </c>
      <c r="P326" s="1707">
        <f>'Part II-Development Team'!P123</f>
        <v>0</v>
      </c>
      <c r="Q326" s="1707">
        <f>'Part II-Development Team'!Q123</f>
        <v>0</v>
      </c>
      <c r="R326" s="1707">
        <f>'Part II-Development Team'!R123</f>
        <v>0</v>
      </c>
      <c r="S326" s="1707">
        <f>'Part II-Development Team'!S123</f>
        <v>0</v>
      </c>
    </row>
    <row r="327" spans="1:19" ht="12.75" customHeight="1">
      <c r="A327" s="1625"/>
      <c r="B327" s="1687"/>
      <c r="C327" s="1705" t="s">
        <v>2551</v>
      </c>
      <c r="D327" s="1621" t="s">
        <v>2896</v>
      </c>
      <c r="E327" s="1621"/>
      <c r="F327" s="1706" t="str">
        <f>'Part II-Development Team'!F124</f>
        <v>No</v>
      </c>
      <c r="G327" s="1707">
        <f>'Part II-Development Team'!G124</f>
        <v>0</v>
      </c>
      <c r="H327" s="1707">
        <f>'Part II-Development Team'!H124</f>
        <v>0</v>
      </c>
      <c r="I327" s="1707">
        <f>'Part II-Development Team'!I124</f>
        <v>0</v>
      </c>
      <c r="J327" s="1707">
        <f>'Part II-Development Team'!J124</f>
        <v>0</v>
      </c>
      <c r="K327" s="1707">
        <f>'Part II-Development Team'!K124</f>
        <v>0</v>
      </c>
      <c r="L327" s="1707">
        <f>'Part II-Development Team'!L124</f>
        <v>0</v>
      </c>
      <c r="M327" s="1707">
        <f>'Part II-Development Team'!M124</f>
        <v>0</v>
      </c>
      <c r="N327" s="1707">
        <f>'Part II-Development Team'!N124</f>
        <v>0</v>
      </c>
      <c r="O327" s="1707">
        <f>'Part II-Development Team'!O124</f>
        <v>0</v>
      </c>
      <c r="P327" s="1707">
        <f>'Part II-Development Team'!P124</f>
        <v>0</v>
      </c>
      <c r="Q327" s="1707">
        <f>'Part II-Development Team'!Q124</f>
        <v>0</v>
      </c>
      <c r="R327" s="1707">
        <f>'Part II-Development Team'!R124</f>
        <v>0</v>
      </c>
      <c r="S327" s="1707">
        <f>'Part II-Development Team'!S124</f>
        <v>0</v>
      </c>
    </row>
    <row r="328" spans="1:19" ht="12.75" customHeight="1">
      <c r="A328" s="1625"/>
      <c r="B328" s="1687"/>
      <c r="C328" s="1705" t="s">
        <v>1236</v>
      </c>
      <c r="D328" s="1621" t="s">
        <v>2855</v>
      </c>
      <c r="E328" s="1621"/>
      <c r="F328" s="1706" t="str">
        <f>'Part II-Development Team'!F125</f>
        <v>No</v>
      </c>
      <c r="G328" s="1707">
        <f>'Part II-Development Team'!G125</f>
        <v>0</v>
      </c>
      <c r="H328" s="1707">
        <f>'Part II-Development Team'!H125</f>
        <v>0</v>
      </c>
      <c r="I328" s="1707">
        <f>'Part II-Development Team'!I125</f>
        <v>0</v>
      </c>
      <c r="J328" s="1707">
        <f>'Part II-Development Team'!J125</f>
        <v>0</v>
      </c>
      <c r="K328" s="1707">
        <f>'Part II-Development Team'!K125</f>
        <v>0</v>
      </c>
      <c r="L328" s="1707">
        <f>'Part II-Development Team'!L125</f>
        <v>0</v>
      </c>
      <c r="M328" s="1707">
        <f>'Part II-Development Team'!M125</f>
        <v>0</v>
      </c>
      <c r="N328" s="1707">
        <f>'Part II-Development Team'!N125</f>
        <v>0</v>
      </c>
      <c r="O328" s="1707">
        <f>'Part II-Development Team'!O125</f>
        <v>0</v>
      </c>
      <c r="P328" s="1707">
        <f>'Part II-Development Team'!P125</f>
        <v>0</v>
      </c>
      <c r="Q328" s="1707">
        <f>'Part II-Development Team'!Q125</f>
        <v>0</v>
      </c>
      <c r="R328" s="1707">
        <f>'Part II-Development Team'!R125</f>
        <v>0</v>
      </c>
      <c r="S328" s="1707">
        <f>'Part II-Development Team'!S125</f>
        <v>0</v>
      </c>
    </row>
    <row r="329" spans="1:19" ht="12.75" customHeight="1">
      <c r="A329" s="1625"/>
      <c r="B329" s="1687"/>
      <c r="C329" s="1705" t="s">
        <v>1237</v>
      </c>
      <c r="D329" s="1621" t="s">
        <v>3488</v>
      </c>
      <c r="E329" s="1621"/>
      <c r="F329" s="1706" t="str">
        <f>'Part II-Development Team'!F126</f>
        <v>No</v>
      </c>
      <c r="G329" s="1707">
        <f>'Part II-Development Team'!G126</f>
        <v>0</v>
      </c>
      <c r="H329" s="1707">
        <f>'Part II-Development Team'!H126</f>
        <v>0</v>
      </c>
      <c r="I329" s="1707">
        <f>'Part II-Development Team'!I126</f>
        <v>0</v>
      </c>
      <c r="J329" s="1707">
        <f>'Part II-Development Team'!J126</f>
        <v>0</v>
      </c>
      <c r="K329" s="1707">
        <f>'Part II-Development Team'!K126</f>
        <v>0</v>
      </c>
      <c r="L329" s="1707">
        <f>'Part II-Development Team'!L126</f>
        <v>0</v>
      </c>
      <c r="M329" s="1707">
        <f>'Part II-Development Team'!M126</f>
        <v>0</v>
      </c>
      <c r="N329" s="1707">
        <f>'Part II-Development Team'!N126</f>
        <v>0</v>
      </c>
      <c r="O329" s="1707">
        <f>'Part II-Development Team'!O126</f>
        <v>0</v>
      </c>
      <c r="P329" s="1707">
        <f>'Part II-Development Team'!P126</f>
        <v>0</v>
      </c>
      <c r="Q329" s="1707">
        <f>'Part II-Development Team'!Q126</f>
        <v>0</v>
      </c>
      <c r="R329" s="1707">
        <f>'Part II-Development Team'!R126</f>
        <v>0</v>
      </c>
      <c r="S329" s="1707">
        <f>'Part II-Development Team'!S126</f>
        <v>0</v>
      </c>
    </row>
    <row r="330" spans="1:19" ht="12.75" customHeight="1">
      <c r="A330" s="1625"/>
      <c r="B330" s="1687"/>
      <c r="C330" s="1705" t="s">
        <v>1896</v>
      </c>
      <c r="D330" s="1621" t="s">
        <v>3489</v>
      </c>
      <c r="E330" s="1621"/>
      <c r="F330" s="1706" t="str">
        <f>'Part II-Development Team'!F127</f>
        <v>No</v>
      </c>
      <c r="G330" s="1707">
        <f>'Part II-Development Team'!G127</f>
        <v>0</v>
      </c>
      <c r="H330" s="1707">
        <f>'Part II-Development Team'!H127</f>
        <v>0</v>
      </c>
      <c r="I330" s="1707">
        <f>'Part II-Development Team'!I127</f>
        <v>0</v>
      </c>
      <c r="J330" s="1707">
        <f>'Part II-Development Team'!J127</f>
        <v>0</v>
      </c>
      <c r="K330" s="1707">
        <f>'Part II-Development Team'!K127</f>
        <v>0</v>
      </c>
      <c r="L330" s="1707">
        <f>'Part II-Development Team'!L127</f>
        <v>0</v>
      </c>
      <c r="M330" s="1707">
        <f>'Part II-Development Team'!M127</f>
        <v>0</v>
      </c>
      <c r="N330" s="1707">
        <f>'Part II-Development Team'!N127</f>
        <v>0</v>
      </c>
      <c r="O330" s="1707">
        <f>'Part II-Development Team'!O127</f>
        <v>0</v>
      </c>
      <c r="P330" s="1707">
        <f>'Part II-Development Team'!P127</f>
        <v>0</v>
      </c>
      <c r="Q330" s="1707">
        <f>'Part II-Development Team'!Q127</f>
        <v>0</v>
      </c>
      <c r="R330" s="1707">
        <f>'Part II-Development Team'!R127</f>
        <v>0</v>
      </c>
      <c r="S330" s="1707">
        <f>'Part II-Development Team'!S127</f>
        <v>0</v>
      </c>
    </row>
    <row r="331" spans="1:19" ht="12.75" customHeight="1">
      <c r="A331" s="1625"/>
      <c r="B331" s="1687"/>
      <c r="C331" s="1705" t="s">
        <v>508</v>
      </c>
      <c r="D331" s="1621" t="s">
        <v>2856</v>
      </c>
      <c r="E331" s="1621"/>
      <c r="F331" s="1706" t="str">
        <f>'Part II-Development Team'!F128</f>
        <v>No</v>
      </c>
      <c r="G331" s="1707">
        <f>'Part II-Development Team'!G128</f>
        <v>0</v>
      </c>
      <c r="H331" s="1707">
        <f>'Part II-Development Team'!H128</f>
        <v>0</v>
      </c>
      <c r="I331" s="1707">
        <f>'Part II-Development Team'!I128</f>
        <v>0</v>
      </c>
      <c r="J331" s="1707">
        <f>'Part II-Development Team'!J128</f>
        <v>0</v>
      </c>
      <c r="K331" s="1707">
        <f>'Part II-Development Team'!K128</f>
        <v>0</v>
      </c>
      <c r="L331" s="1707">
        <f>'Part II-Development Team'!L128</f>
        <v>0</v>
      </c>
      <c r="M331" s="1707">
        <f>'Part II-Development Team'!M128</f>
        <v>0</v>
      </c>
      <c r="N331" s="1707">
        <f>'Part II-Development Team'!N128</f>
        <v>0</v>
      </c>
      <c r="O331" s="1707">
        <f>'Part II-Development Team'!O128</f>
        <v>0</v>
      </c>
      <c r="P331" s="1707">
        <f>'Part II-Development Team'!P128</f>
        <v>0</v>
      </c>
      <c r="Q331" s="1707">
        <f>'Part II-Development Team'!Q128</f>
        <v>0</v>
      </c>
      <c r="R331" s="1707">
        <f>'Part II-Development Team'!R128</f>
        <v>0</v>
      </c>
      <c r="S331" s="1707">
        <f>'Part II-Development Team'!S128</f>
        <v>0</v>
      </c>
    </row>
    <row r="332" spans="1:19" ht="12.75" customHeight="1">
      <c r="A332" s="1625"/>
      <c r="B332" s="1687"/>
      <c r="C332" s="1705" t="s">
        <v>509</v>
      </c>
      <c r="D332" s="1621" t="str">
        <f>'Part II-Development Team'!D129</f>
        <v>Other (Indicate here the two roles involved)</v>
      </c>
      <c r="E332" s="1621">
        <f>'Part II-Development Team'!E129</f>
        <v>0</v>
      </c>
      <c r="F332" s="1706" t="str">
        <f>'Part II-Development Team'!F129</f>
        <v>Yes</v>
      </c>
      <c r="G332" s="1707" t="str">
        <f>'Part II-Development Team'!G129</f>
        <v>Ground Lease Option: The owner, Macon Housing Authority (lessor),  is related to and affiliated with but does not control In-Fill Housing II, the lessee.  In-Fill Housing II has assigned the Ground Lease Option to the Partnership, which it controls. The Ground Lease will be for a 55 year period.</v>
      </c>
      <c r="H332" s="1707">
        <f>'Part II-Development Team'!H129</f>
        <v>0</v>
      </c>
      <c r="I332" s="1707">
        <f>'Part II-Development Team'!I129</f>
        <v>0</v>
      </c>
      <c r="J332" s="1707">
        <f>'Part II-Development Team'!J129</f>
        <v>0</v>
      </c>
      <c r="K332" s="1707">
        <f>'Part II-Development Team'!K129</f>
        <v>0</v>
      </c>
      <c r="L332" s="1707">
        <f>'Part II-Development Team'!L129</f>
        <v>0</v>
      </c>
      <c r="M332" s="1707">
        <f>'Part II-Development Team'!M129</f>
        <v>0</v>
      </c>
      <c r="N332" s="1707">
        <f>'Part II-Development Team'!N129</f>
        <v>0</v>
      </c>
      <c r="O332" s="1707">
        <f>'Part II-Development Team'!O129</f>
        <v>0</v>
      </c>
      <c r="P332" s="1707">
        <f>'Part II-Development Team'!P129</f>
        <v>0</v>
      </c>
      <c r="Q332" s="1707">
        <f>'Part II-Development Team'!Q129</f>
        <v>0</v>
      </c>
      <c r="R332" s="1707">
        <f>'Part II-Development Team'!R129</f>
        <v>0</v>
      </c>
      <c r="S332" s="1707">
        <f>'Part II-Development Team'!S129</f>
        <v>0</v>
      </c>
    </row>
    <row r="333" spans="1:19">
      <c r="A333" s="1622" t="s">
        <v>1807</v>
      </c>
      <c r="B333" s="1622" t="s">
        <v>4751</v>
      </c>
      <c r="C333" s="1625"/>
      <c r="D333" s="1625"/>
      <c r="E333" s="1625"/>
      <c r="F333" s="1622"/>
      <c r="G333" s="1630"/>
      <c r="H333" s="1630"/>
      <c r="I333" s="1630"/>
      <c r="J333" s="1630"/>
      <c r="K333" s="1630"/>
      <c r="L333" s="1630"/>
      <c r="M333" s="1630"/>
      <c r="N333" s="1630"/>
      <c r="O333" s="1630"/>
      <c r="P333" s="1630"/>
      <c r="Q333" s="1630"/>
      <c r="R333" s="1625"/>
      <c r="S333" s="1625"/>
    </row>
    <row r="334" spans="1:19">
      <c r="A334" s="1622"/>
      <c r="B334" s="1622"/>
      <c r="C334" s="1625"/>
      <c r="D334" s="1625"/>
      <c r="E334" s="1625"/>
      <c r="F334" s="1622"/>
      <c r="G334" s="1630"/>
      <c r="H334" s="1630"/>
      <c r="I334" s="1630"/>
      <c r="J334" s="1630"/>
      <c r="K334" s="1630"/>
      <c r="L334" s="1630"/>
      <c r="M334" s="1630"/>
      <c r="N334" s="1630"/>
      <c r="O334" s="1630"/>
      <c r="P334" s="1630"/>
      <c r="Q334" s="1630"/>
      <c r="R334" s="1625"/>
      <c r="S334" s="1625"/>
    </row>
    <row r="335" spans="1:19">
      <c r="A335" s="1632"/>
      <c r="B335" s="1622" t="s">
        <v>757</v>
      </c>
      <c r="C335" s="1622" t="s">
        <v>2857</v>
      </c>
      <c r="D335" s="1632"/>
      <c r="E335" s="1632"/>
      <c r="F335" s="1632"/>
      <c r="G335" s="1632"/>
      <c r="H335" s="1632"/>
      <c r="I335" s="1632"/>
      <c r="J335" s="1632"/>
      <c r="K335" s="1632"/>
      <c r="L335" s="1632"/>
      <c r="M335" s="1632"/>
      <c r="N335" s="1632"/>
      <c r="O335" s="1632"/>
      <c r="P335" s="1632"/>
      <c r="Q335" s="1632"/>
      <c r="R335" s="1632"/>
      <c r="S335" s="1632"/>
    </row>
    <row r="336" spans="1:19" ht="12.75" customHeight="1">
      <c r="A336" s="1621" t="s">
        <v>646</v>
      </c>
      <c r="B336" s="1621"/>
      <c r="C336" s="1621"/>
      <c r="D336" s="1621"/>
      <c r="E336" s="1621" t="s">
        <v>3469</v>
      </c>
      <c r="F336" s="1621"/>
      <c r="G336" s="1621"/>
      <c r="H336" s="1621"/>
      <c r="I336" s="1621"/>
      <c r="J336" s="1621" t="s">
        <v>3470</v>
      </c>
      <c r="K336" s="1708" t="s">
        <v>4752</v>
      </c>
      <c r="L336" s="1708" t="s">
        <v>4753</v>
      </c>
      <c r="M336" s="1708" t="s">
        <v>4754</v>
      </c>
      <c r="N336" s="1708"/>
      <c r="O336" s="1708"/>
      <c r="P336" s="1708"/>
      <c r="Q336" s="1708"/>
      <c r="R336" s="1708"/>
      <c r="S336" s="1708"/>
    </row>
    <row r="337" spans="1:19">
      <c r="A337" s="1621"/>
      <c r="B337" s="1621"/>
      <c r="C337" s="1621"/>
      <c r="D337" s="1621"/>
      <c r="E337" s="1621"/>
      <c r="F337" s="1621"/>
      <c r="G337" s="1621"/>
      <c r="H337" s="1621"/>
      <c r="I337" s="1621"/>
      <c r="J337" s="1621"/>
      <c r="K337" s="1708"/>
      <c r="L337" s="1708"/>
      <c r="M337" s="1708"/>
      <c r="N337" s="1708"/>
      <c r="O337" s="1708"/>
      <c r="P337" s="1708"/>
      <c r="Q337" s="1708"/>
      <c r="R337" s="1708"/>
      <c r="S337" s="1708"/>
    </row>
    <row r="338" spans="1:19">
      <c r="A338" s="1621"/>
      <c r="B338" s="1621"/>
      <c r="C338" s="1621"/>
      <c r="D338" s="1621"/>
      <c r="E338" s="1621"/>
      <c r="F338" s="1621"/>
      <c r="G338" s="1621"/>
      <c r="H338" s="1621"/>
      <c r="I338" s="1621"/>
      <c r="J338" s="1621"/>
      <c r="K338" s="1708"/>
      <c r="L338" s="1708"/>
      <c r="M338" s="1708"/>
      <c r="N338" s="1708"/>
      <c r="O338" s="1708"/>
      <c r="P338" s="1708"/>
      <c r="Q338" s="1708"/>
      <c r="R338" s="1708"/>
      <c r="S338" s="1708"/>
    </row>
    <row r="339" spans="1:19" ht="12.75" customHeight="1">
      <c r="A339" s="1621"/>
      <c r="B339" s="1621"/>
      <c r="C339" s="1621"/>
      <c r="D339" s="1621"/>
      <c r="E339" s="1709" t="s">
        <v>4755</v>
      </c>
      <c r="F339" s="1709"/>
      <c r="G339" s="1709"/>
      <c r="H339" s="1709"/>
      <c r="I339" s="1708"/>
      <c r="J339" s="1621"/>
      <c r="K339" s="1708"/>
      <c r="L339" s="1708"/>
      <c r="M339" s="1708"/>
      <c r="N339" s="1708"/>
      <c r="O339" s="1708"/>
      <c r="P339" s="1708"/>
      <c r="Q339" s="1708"/>
      <c r="R339" s="1708"/>
      <c r="S339" s="1708"/>
    </row>
    <row r="340" spans="1:19" ht="12.75" customHeight="1">
      <c r="A340" s="1621"/>
      <c r="B340" s="1621"/>
      <c r="C340" s="1621"/>
      <c r="D340" s="1621"/>
      <c r="E340" s="1709"/>
      <c r="F340" s="1709"/>
      <c r="G340" s="1709"/>
      <c r="H340" s="1709"/>
      <c r="I340" s="1710" t="s">
        <v>2527</v>
      </c>
      <c r="J340" s="1621"/>
      <c r="K340" s="1708"/>
      <c r="L340" s="1708"/>
      <c r="M340" s="1650" t="s">
        <v>2527</v>
      </c>
      <c r="N340" s="1656" t="s">
        <v>2926</v>
      </c>
      <c r="O340" s="1656"/>
      <c r="P340" s="1656"/>
      <c r="Q340" s="1656"/>
      <c r="R340" s="1656"/>
      <c r="S340" s="1656"/>
    </row>
    <row r="341" spans="1:19" ht="13.5" customHeight="1">
      <c r="A341" s="1697" t="s">
        <v>3464</v>
      </c>
      <c r="B341" s="1697"/>
      <c r="C341" s="1697"/>
      <c r="D341" s="1697"/>
      <c r="E341" s="1707">
        <f>'Part II-Development Team'!E138</f>
        <v>0</v>
      </c>
      <c r="F341" s="1707">
        <f>'Part II-Development Team'!F138</f>
        <v>0</v>
      </c>
      <c r="G341" s="1707">
        <f>'Part II-Development Team'!G138</f>
        <v>0</v>
      </c>
      <c r="H341" s="1707">
        <f>'Part II-Development Team'!H138</f>
        <v>0</v>
      </c>
      <c r="I341" s="1706" t="str">
        <f>'Part II-Development Team'!I138</f>
        <v>No</v>
      </c>
      <c r="J341" s="1706" t="str">
        <f>'Part II-Development Team'!J138</f>
        <v>No</v>
      </c>
      <c r="K341" s="1711" t="str">
        <f>'Part II-Development Team'!K138</f>
        <v>For Profit</v>
      </c>
      <c r="L341" s="1712">
        <f>'Part II-Development Team'!L138</f>
        <v>1E-4</v>
      </c>
      <c r="M341" s="1706" t="str">
        <f>'Part II-Development Team'!M138</f>
        <v>No</v>
      </c>
      <c r="N341" s="1707">
        <f>'Part II-Development Team'!N138</f>
        <v>0</v>
      </c>
      <c r="O341" s="1707">
        <f>'Part II-Development Team'!O138</f>
        <v>0</v>
      </c>
      <c r="P341" s="1707">
        <f>'Part II-Development Team'!P138</f>
        <v>0</v>
      </c>
      <c r="Q341" s="1707">
        <f>'Part II-Development Team'!Q138</f>
        <v>0</v>
      </c>
      <c r="R341" s="1707">
        <f>'Part II-Development Team'!R138</f>
        <v>0</v>
      </c>
      <c r="S341" s="1707">
        <f>'Part II-Development Team'!S138</f>
        <v>0</v>
      </c>
    </row>
    <row r="342" spans="1:19" ht="13.5" customHeight="1">
      <c r="A342" s="1697" t="s">
        <v>3465</v>
      </c>
      <c r="B342" s="1697"/>
      <c r="C342" s="1697"/>
      <c r="D342" s="1697"/>
      <c r="E342" s="1707">
        <f>'Part II-Development Team'!E139</f>
        <v>0</v>
      </c>
      <c r="F342" s="1707">
        <f>'Part II-Development Team'!F139</f>
        <v>0</v>
      </c>
      <c r="G342" s="1707">
        <f>'Part II-Development Team'!G139</f>
        <v>0</v>
      </c>
      <c r="H342" s="1707">
        <f>'Part II-Development Team'!H139</f>
        <v>0</v>
      </c>
      <c r="I342" s="1706">
        <f>'Part II-Development Team'!I139</f>
        <v>0</v>
      </c>
      <c r="J342" s="1706">
        <f>'Part II-Development Team'!J139</f>
        <v>0</v>
      </c>
      <c r="K342" s="1711">
        <f>'Part II-Development Team'!K139</f>
        <v>0</v>
      </c>
      <c r="L342" s="1712">
        <f>'Part II-Development Team'!L139</f>
        <v>0</v>
      </c>
      <c r="M342" s="1706">
        <f>'Part II-Development Team'!M139</f>
        <v>0</v>
      </c>
      <c r="N342" s="1707">
        <f>'Part II-Development Team'!N139</f>
        <v>0</v>
      </c>
      <c r="O342" s="1707">
        <f>'Part II-Development Team'!O139</f>
        <v>0</v>
      </c>
      <c r="P342" s="1707">
        <f>'Part II-Development Team'!P139</f>
        <v>0</v>
      </c>
      <c r="Q342" s="1707">
        <f>'Part II-Development Team'!Q139</f>
        <v>0</v>
      </c>
      <c r="R342" s="1707">
        <f>'Part II-Development Team'!R139</f>
        <v>0</v>
      </c>
      <c r="S342" s="1707">
        <f>'Part II-Development Team'!S139</f>
        <v>0</v>
      </c>
    </row>
    <row r="343" spans="1:19" ht="13.5" customHeight="1">
      <c r="A343" s="1697" t="s">
        <v>3466</v>
      </c>
      <c r="B343" s="1697"/>
      <c r="C343" s="1697"/>
      <c r="D343" s="1697"/>
      <c r="E343" s="1707">
        <f>'Part II-Development Team'!E140</f>
        <v>0</v>
      </c>
      <c r="F343" s="1707">
        <f>'Part II-Development Team'!F140</f>
        <v>0</v>
      </c>
      <c r="G343" s="1707">
        <f>'Part II-Development Team'!G140</f>
        <v>0</v>
      </c>
      <c r="H343" s="1707">
        <f>'Part II-Development Team'!H140</f>
        <v>0</v>
      </c>
      <c r="I343" s="1706">
        <f>'Part II-Development Team'!I140</f>
        <v>0</v>
      </c>
      <c r="J343" s="1706">
        <f>'Part II-Development Team'!J140</f>
        <v>0</v>
      </c>
      <c r="K343" s="1711">
        <f>'Part II-Development Team'!K140</f>
        <v>0</v>
      </c>
      <c r="L343" s="1712">
        <f>'Part II-Development Team'!L140</f>
        <v>0</v>
      </c>
      <c r="M343" s="1706">
        <f>'Part II-Development Team'!M140</f>
        <v>0</v>
      </c>
      <c r="N343" s="1707">
        <f>'Part II-Development Team'!N140</f>
        <v>0</v>
      </c>
      <c r="O343" s="1707">
        <f>'Part II-Development Team'!O140</f>
        <v>0</v>
      </c>
      <c r="P343" s="1707">
        <f>'Part II-Development Team'!P140</f>
        <v>0</v>
      </c>
      <c r="Q343" s="1707">
        <f>'Part II-Development Team'!Q140</f>
        <v>0</v>
      </c>
      <c r="R343" s="1707">
        <f>'Part II-Development Team'!R140</f>
        <v>0</v>
      </c>
      <c r="S343" s="1707">
        <f>'Part II-Development Team'!S140</f>
        <v>0</v>
      </c>
    </row>
    <row r="344" spans="1:19" ht="13.5" customHeight="1">
      <c r="A344" s="1697" t="s">
        <v>3467</v>
      </c>
      <c r="B344" s="1697"/>
      <c r="C344" s="1697"/>
      <c r="D344" s="1697"/>
      <c r="E344" s="1707">
        <f>'Part II-Development Team'!E141</f>
        <v>0</v>
      </c>
      <c r="F344" s="1707">
        <f>'Part II-Development Team'!F141</f>
        <v>0</v>
      </c>
      <c r="G344" s="1707">
        <f>'Part II-Development Team'!G141</f>
        <v>0</v>
      </c>
      <c r="H344" s="1707">
        <f>'Part II-Development Team'!H141</f>
        <v>0</v>
      </c>
      <c r="I344" s="1706" t="str">
        <f>'Part II-Development Team'!I141</f>
        <v>No</v>
      </c>
      <c r="J344" s="1706" t="str">
        <f>'Part II-Development Team'!J141</f>
        <v>No</v>
      </c>
      <c r="K344" s="1711" t="str">
        <f>'Part II-Development Team'!K141</f>
        <v>For Profit</v>
      </c>
      <c r="L344" s="1712">
        <f>'Part II-Development Team'!L141</f>
        <v>0.9899</v>
      </c>
      <c r="M344" s="1706" t="str">
        <f>'Part II-Development Team'!M141</f>
        <v>No</v>
      </c>
      <c r="N344" s="1707">
        <f>'Part II-Development Team'!N141</f>
        <v>0</v>
      </c>
      <c r="O344" s="1707">
        <f>'Part II-Development Team'!O141</f>
        <v>0</v>
      </c>
      <c r="P344" s="1707">
        <f>'Part II-Development Team'!P141</f>
        <v>0</v>
      </c>
      <c r="Q344" s="1707">
        <f>'Part II-Development Team'!Q141</f>
        <v>0</v>
      </c>
      <c r="R344" s="1707">
        <f>'Part II-Development Team'!R141</f>
        <v>0</v>
      </c>
      <c r="S344" s="1707">
        <f>'Part II-Development Team'!S141</f>
        <v>0</v>
      </c>
    </row>
    <row r="345" spans="1:19" ht="13.5" customHeight="1">
      <c r="A345" s="1697" t="s">
        <v>3468</v>
      </c>
      <c r="B345" s="1697"/>
      <c r="C345" s="1697"/>
      <c r="D345" s="1697"/>
      <c r="E345" s="1707">
        <f>'Part II-Development Team'!E142</f>
        <v>0</v>
      </c>
      <c r="F345" s="1707">
        <f>'Part II-Development Team'!F142</f>
        <v>0</v>
      </c>
      <c r="G345" s="1707">
        <f>'Part II-Development Team'!G142</f>
        <v>0</v>
      </c>
      <c r="H345" s="1707">
        <f>'Part II-Development Team'!H142</f>
        <v>0</v>
      </c>
      <c r="I345" s="1706" t="str">
        <f>'Part II-Development Team'!I142</f>
        <v>No</v>
      </c>
      <c r="J345" s="1706" t="str">
        <f>'Part II-Development Team'!J142</f>
        <v>No</v>
      </c>
      <c r="K345" s="1711" t="str">
        <f>'Part II-Development Team'!K142</f>
        <v>For Profit</v>
      </c>
      <c r="L345" s="1712">
        <f>'Part II-Development Team'!L142</f>
        <v>0.01</v>
      </c>
      <c r="M345" s="1706" t="str">
        <f>'Part II-Development Team'!M142</f>
        <v>No</v>
      </c>
      <c r="N345" s="1707">
        <f>'Part II-Development Team'!N142</f>
        <v>0</v>
      </c>
      <c r="O345" s="1707">
        <f>'Part II-Development Team'!O142</f>
        <v>0</v>
      </c>
      <c r="P345" s="1707">
        <f>'Part II-Development Team'!P142</f>
        <v>0</v>
      </c>
      <c r="Q345" s="1707">
        <f>'Part II-Development Team'!Q142</f>
        <v>0</v>
      </c>
      <c r="R345" s="1707">
        <f>'Part II-Development Team'!R142</f>
        <v>0</v>
      </c>
      <c r="S345" s="1707">
        <f>'Part II-Development Team'!S142</f>
        <v>0</v>
      </c>
    </row>
    <row r="346" spans="1:19" ht="13.5" customHeight="1">
      <c r="A346" s="1697" t="s">
        <v>2913</v>
      </c>
      <c r="B346" s="1697"/>
      <c r="C346" s="1697"/>
      <c r="D346" s="1697"/>
      <c r="E346" s="1707">
        <f>'Part II-Development Team'!E143</f>
        <v>0</v>
      </c>
      <c r="F346" s="1707">
        <f>'Part II-Development Team'!F143</f>
        <v>0</v>
      </c>
      <c r="G346" s="1707">
        <f>'Part II-Development Team'!G143</f>
        <v>0</v>
      </c>
      <c r="H346" s="1707">
        <f>'Part II-Development Team'!H143</f>
        <v>0</v>
      </c>
      <c r="I346" s="1706" t="str">
        <f>'Part II-Development Team'!I143</f>
        <v>No</v>
      </c>
      <c r="J346" s="1706" t="str">
        <f>'Part II-Development Team'!J143</f>
        <v>No</v>
      </c>
      <c r="K346" s="1711" t="str">
        <f>'Part II-Development Team'!K143</f>
        <v>Nonprofit</v>
      </c>
      <c r="L346" s="1712">
        <f>'Part II-Development Team'!L143</f>
        <v>0</v>
      </c>
      <c r="M346" s="1706" t="str">
        <f>'Part II-Development Team'!M143</f>
        <v>No</v>
      </c>
      <c r="N346" s="1707">
        <f>'Part II-Development Team'!N143</f>
        <v>0</v>
      </c>
      <c r="O346" s="1707">
        <f>'Part II-Development Team'!O143</f>
        <v>0</v>
      </c>
      <c r="P346" s="1707">
        <f>'Part II-Development Team'!P143</f>
        <v>0</v>
      </c>
      <c r="Q346" s="1707">
        <f>'Part II-Development Team'!Q143</f>
        <v>0</v>
      </c>
      <c r="R346" s="1707">
        <f>'Part II-Development Team'!R143</f>
        <v>0</v>
      </c>
      <c r="S346" s="1707">
        <f>'Part II-Development Team'!S143</f>
        <v>0</v>
      </c>
    </row>
    <row r="347" spans="1:19" ht="13.5">
      <c r="A347" s="1697" t="s">
        <v>659</v>
      </c>
      <c r="B347" s="1697"/>
      <c r="C347" s="1697"/>
      <c r="D347" s="1697"/>
      <c r="E347" s="1707">
        <f>'Part II-Development Team'!E144</f>
        <v>0</v>
      </c>
      <c r="F347" s="1707">
        <f>'Part II-Development Team'!F144</f>
        <v>0</v>
      </c>
      <c r="G347" s="1707">
        <f>'Part II-Development Team'!G144</f>
        <v>0</v>
      </c>
      <c r="H347" s="1707">
        <f>'Part II-Development Team'!H144</f>
        <v>0</v>
      </c>
      <c r="I347" s="1706" t="str">
        <f>'Part II-Development Team'!I144</f>
        <v>No</v>
      </c>
      <c r="J347" s="1706" t="str">
        <f>'Part II-Development Team'!J144</f>
        <v>No</v>
      </c>
      <c r="K347" s="1711" t="str">
        <f>'Part II-Development Team'!K144</f>
        <v>Nonprofit</v>
      </c>
      <c r="L347" s="1712">
        <f>'Part II-Development Team'!L144</f>
        <v>0</v>
      </c>
      <c r="M347" s="1706" t="str">
        <f>'Part II-Development Team'!M144</f>
        <v>No</v>
      </c>
      <c r="N347" s="1707">
        <f>'Part II-Development Team'!N144</f>
        <v>0</v>
      </c>
      <c r="O347" s="1707">
        <f>'Part II-Development Team'!O144</f>
        <v>0</v>
      </c>
      <c r="P347" s="1707">
        <f>'Part II-Development Team'!P144</f>
        <v>0</v>
      </c>
      <c r="Q347" s="1707">
        <f>'Part II-Development Team'!Q144</f>
        <v>0</v>
      </c>
      <c r="R347" s="1707">
        <f>'Part II-Development Team'!R144</f>
        <v>0</v>
      </c>
      <c r="S347" s="1707">
        <f>'Part II-Development Team'!S144</f>
        <v>0</v>
      </c>
    </row>
    <row r="348" spans="1:19" ht="13.5" customHeight="1">
      <c r="A348" s="1697" t="s">
        <v>2914</v>
      </c>
      <c r="B348" s="1697"/>
      <c r="C348" s="1697"/>
      <c r="D348" s="1697"/>
      <c r="E348" s="1707">
        <f>'Part II-Development Team'!E145</f>
        <v>0</v>
      </c>
      <c r="F348" s="1707">
        <f>'Part II-Development Team'!F145</f>
        <v>0</v>
      </c>
      <c r="G348" s="1707">
        <f>'Part II-Development Team'!G145</f>
        <v>0</v>
      </c>
      <c r="H348" s="1707">
        <f>'Part II-Development Team'!H145</f>
        <v>0</v>
      </c>
      <c r="I348" s="1706">
        <f>'Part II-Development Team'!I145</f>
        <v>0</v>
      </c>
      <c r="J348" s="1706">
        <f>'Part II-Development Team'!J145</f>
        <v>0</v>
      </c>
      <c r="K348" s="1711">
        <f>'Part II-Development Team'!K145</f>
        <v>0</v>
      </c>
      <c r="L348" s="1712">
        <f>'Part II-Development Team'!L145</f>
        <v>0</v>
      </c>
      <c r="M348" s="1706">
        <f>'Part II-Development Team'!M145</f>
        <v>0</v>
      </c>
      <c r="N348" s="1707">
        <f>'Part II-Development Team'!N145</f>
        <v>0</v>
      </c>
      <c r="O348" s="1707">
        <f>'Part II-Development Team'!O145</f>
        <v>0</v>
      </c>
      <c r="P348" s="1707">
        <f>'Part II-Development Team'!P145</f>
        <v>0</v>
      </c>
      <c r="Q348" s="1707">
        <f>'Part II-Development Team'!Q145</f>
        <v>0</v>
      </c>
      <c r="R348" s="1707">
        <f>'Part II-Development Team'!R145</f>
        <v>0</v>
      </c>
      <c r="S348" s="1707">
        <f>'Part II-Development Team'!S145</f>
        <v>0</v>
      </c>
    </row>
    <row r="349" spans="1:19" ht="13.5" customHeight="1">
      <c r="A349" s="1697" t="s">
        <v>2915</v>
      </c>
      <c r="B349" s="1697"/>
      <c r="C349" s="1697"/>
      <c r="D349" s="1697"/>
      <c r="E349" s="1707">
        <f>'Part II-Development Team'!E146</f>
        <v>0</v>
      </c>
      <c r="F349" s="1707">
        <f>'Part II-Development Team'!F146</f>
        <v>0</v>
      </c>
      <c r="G349" s="1707">
        <f>'Part II-Development Team'!G146</f>
        <v>0</v>
      </c>
      <c r="H349" s="1707">
        <f>'Part II-Development Team'!H146</f>
        <v>0</v>
      </c>
      <c r="I349" s="1706">
        <f>'Part II-Development Team'!I146</f>
        <v>0</v>
      </c>
      <c r="J349" s="1706">
        <f>'Part II-Development Team'!J146</f>
        <v>0</v>
      </c>
      <c r="K349" s="1711">
        <f>'Part II-Development Team'!K146</f>
        <v>0</v>
      </c>
      <c r="L349" s="1712">
        <f>'Part II-Development Team'!L146</f>
        <v>0</v>
      </c>
      <c r="M349" s="1706">
        <f>'Part II-Development Team'!M146</f>
        <v>0</v>
      </c>
      <c r="N349" s="1707">
        <f>'Part II-Development Team'!N146</f>
        <v>0</v>
      </c>
      <c r="O349" s="1707">
        <f>'Part II-Development Team'!O146</f>
        <v>0</v>
      </c>
      <c r="P349" s="1707">
        <f>'Part II-Development Team'!P146</f>
        <v>0</v>
      </c>
      <c r="Q349" s="1707">
        <f>'Part II-Development Team'!Q146</f>
        <v>0</v>
      </c>
      <c r="R349" s="1707">
        <f>'Part II-Development Team'!R146</f>
        <v>0</v>
      </c>
      <c r="S349" s="1707">
        <f>'Part II-Development Team'!S146</f>
        <v>0</v>
      </c>
    </row>
    <row r="350" spans="1:19" ht="13.5" customHeight="1">
      <c r="A350" s="1697" t="s">
        <v>2917</v>
      </c>
      <c r="B350" s="1697"/>
      <c r="C350" s="1697"/>
      <c r="D350" s="1697"/>
      <c r="E350" s="1707">
        <f>'Part II-Development Team'!E147</f>
        <v>0</v>
      </c>
      <c r="F350" s="1707">
        <f>'Part II-Development Team'!F147</f>
        <v>0</v>
      </c>
      <c r="G350" s="1707">
        <f>'Part II-Development Team'!G147</f>
        <v>0</v>
      </c>
      <c r="H350" s="1707">
        <f>'Part II-Development Team'!H147</f>
        <v>0</v>
      </c>
      <c r="I350" s="1706">
        <f>'Part II-Development Team'!I147</f>
        <v>0</v>
      </c>
      <c r="J350" s="1706">
        <f>'Part II-Development Team'!J147</f>
        <v>0</v>
      </c>
      <c r="K350" s="1711">
        <f>'Part II-Development Team'!K147</f>
        <v>0</v>
      </c>
      <c r="L350" s="1712">
        <f>'Part II-Development Team'!L147</f>
        <v>0</v>
      </c>
      <c r="M350" s="1706">
        <f>'Part II-Development Team'!M147</f>
        <v>0</v>
      </c>
      <c r="N350" s="1707">
        <f>'Part II-Development Team'!N147</f>
        <v>0</v>
      </c>
      <c r="O350" s="1707">
        <f>'Part II-Development Team'!O147</f>
        <v>0</v>
      </c>
      <c r="P350" s="1707">
        <f>'Part II-Development Team'!P147</f>
        <v>0</v>
      </c>
      <c r="Q350" s="1707">
        <f>'Part II-Development Team'!Q147</f>
        <v>0</v>
      </c>
      <c r="R350" s="1707">
        <f>'Part II-Development Team'!R147</f>
        <v>0</v>
      </c>
      <c r="S350" s="1707">
        <f>'Part II-Development Team'!S147</f>
        <v>0</v>
      </c>
    </row>
    <row r="351" spans="1:19" ht="13.5" customHeight="1">
      <c r="A351" s="1697" t="s">
        <v>2916</v>
      </c>
      <c r="B351" s="1697"/>
      <c r="C351" s="1697"/>
      <c r="D351" s="1697"/>
      <c r="E351" s="1707">
        <f>'Part II-Development Team'!E148</f>
        <v>0</v>
      </c>
      <c r="F351" s="1707">
        <f>'Part II-Development Team'!F148</f>
        <v>0</v>
      </c>
      <c r="G351" s="1707">
        <f>'Part II-Development Team'!G148</f>
        <v>0</v>
      </c>
      <c r="H351" s="1707">
        <f>'Part II-Development Team'!H148</f>
        <v>0</v>
      </c>
      <c r="I351" s="1706">
        <f>'Part II-Development Team'!I148</f>
        <v>0</v>
      </c>
      <c r="J351" s="1706">
        <f>'Part II-Development Team'!J148</f>
        <v>0</v>
      </c>
      <c r="K351" s="1711">
        <f>'Part II-Development Team'!K148</f>
        <v>0</v>
      </c>
      <c r="L351" s="1712">
        <f>'Part II-Development Team'!L148</f>
        <v>0</v>
      </c>
      <c r="M351" s="1706">
        <f>'Part II-Development Team'!M148</f>
        <v>0</v>
      </c>
      <c r="N351" s="1707">
        <f>'Part II-Development Team'!N148</f>
        <v>0</v>
      </c>
      <c r="O351" s="1707">
        <f>'Part II-Development Team'!O148</f>
        <v>0</v>
      </c>
      <c r="P351" s="1707">
        <f>'Part II-Development Team'!P148</f>
        <v>0</v>
      </c>
      <c r="Q351" s="1707">
        <f>'Part II-Development Team'!Q148</f>
        <v>0</v>
      </c>
      <c r="R351" s="1707">
        <f>'Part II-Development Team'!R148</f>
        <v>0</v>
      </c>
      <c r="S351" s="1707">
        <f>'Part II-Development Team'!S148</f>
        <v>0</v>
      </c>
    </row>
    <row r="352" spans="1:19" ht="13.5">
      <c r="A352" s="1697" t="s">
        <v>1541</v>
      </c>
      <c r="B352" s="1697"/>
      <c r="C352" s="1697"/>
      <c r="D352" s="1697"/>
      <c r="E352" s="1707">
        <f>'Part II-Development Team'!E149</f>
        <v>0</v>
      </c>
      <c r="F352" s="1707">
        <f>'Part II-Development Team'!F149</f>
        <v>0</v>
      </c>
      <c r="G352" s="1707">
        <f>'Part II-Development Team'!G149</f>
        <v>0</v>
      </c>
      <c r="H352" s="1707">
        <f>'Part II-Development Team'!H149</f>
        <v>0</v>
      </c>
      <c r="I352" s="1706" t="str">
        <f>'Part II-Development Team'!I149</f>
        <v>No</v>
      </c>
      <c r="J352" s="1706" t="str">
        <f>'Part II-Development Team'!J149</f>
        <v>No</v>
      </c>
      <c r="K352" s="1711" t="str">
        <f>'Part II-Development Team'!K149</f>
        <v>For Profit</v>
      </c>
      <c r="L352" s="1712">
        <f>'Part II-Development Team'!L149</f>
        <v>0</v>
      </c>
      <c r="M352" s="1706" t="str">
        <f>'Part II-Development Team'!M149</f>
        <v>No</v>
      </c>
      <c r="N352" s="1707">
        <f>'Part II-Development Team'!N149</f>
        <v>0</v>
      </c>
      <c r="O352" s="1707">
        <f>'Part II-Development Team'!O149</f>
        <v>0</v>
      </c>
      <c r="P352" s="1707">
        <f>'Part II-Development Team'!P149</f>
        <v>0</v>
      </c>
      <c r="Q352" s="1707">
        <f>'Part II-Development Team'!Q149</f>
        <v>0</v>
      </c>
      <c r="R352" s="1707">
        <f>'Part II-Development Team'!R149</f>
        <v>0</v>
      </c>
      <c r="S352" s="1707">
        <f>'Part II-Development Team'!S149</f>
        <v>0</v>
      </c>
    </row>
    <row r="353" spans="1:19" ht="13.5" customHeight="1">
      <c r="A353" s="1697" t="s">
        <v>2918</v>
      </c>
      <c r="B353" s="1697"/>
      <c r="C353" s="1697"/>
      <c r="D353" s="1697"/>
      <c r="E353" s="1707">
        <f>'Part II-Development Team'!E150</f>
        <v>0</v>
      </c>
      <c r="F353" s="1707">
        <f>'Part II-Development Team'!F150</f>
        <v>0</v>
      </c>
      <c r="G353" s="1707">
        <f>'Part II-Development Team'!G150</f>
        <v>0</v>
      </c>
      <c r="H353" s="1707">
        <f>'Part II-Development Team'!H150</f>
        <v>0</v>
      </c>
      <c r="I353" s="1706" t="str">
        <f>'Part II-Development Team'!I150</f>
        <v>No</v>
      </c>
      <c r="J353" s="1706" t="str">
        <f>'Part II-Development Team'!J150</f>
        <v>No</v>
      </c>
      <c r="K353" s="1711" t="str">
        <f>'Part II-Development Team'!K150</f>
        <v>Nonprofit</v>
      </c>
      <c r="L353" s="1712">
        <f>'Part II-Development Team'!L150</f>
        <v>0</v>
      </c>
      <c r="M353" s="1706" t="str">
        <f>'Part II-Development Team'!M150</f>
        <v>No</v>
      </c>
      <c r="N353" s="1707">
        <f>'Part II-Development Team'!N150</f>
        <v>0</v>
      </c>
      <c r="O353" s="1707">
        <f>'Part II-Development Team'!O150</f>
        <v>0</v>
      </c>
      <c r="P353" s="1707">
        <f>'Part II-Development Team'!P150</f>
        <v>0</v>
      </c>
      <c r="Q353" s="1707">
        <f>'Part II-Development Team'!Q150</f>
        <v>0</v>
      </c>
      <c r="R353" s="1707">
        <f>'Part II-Development Team'!R150</f>
        <v>0</v>
      </c>
      <c r="S353" s="1707">
        <f>'Part II-Development Team'!S150</f>
        <v>0</v>
      </c>
    </row>
    <row r="354" spans="1:19">
      <c r="A354" s="1625"/>
      <c r="B354" s="1625"/>
      <c r="C354" s="1625"/>
      <c r="D354" s="1625"/>
      <c r="E354" s="1625"/>
      <c r="F354" s="1625"/>
      <c r="G354" s="1622"/>
      <c r="H354" s="1622"/>
      <c r="I354" s="1622"/>
      <c r="J354" s="1630"/>
      <c r="K354" s="1677" t="s">
        <v>544</v>
      </c>
      <c r="L354" s="1713">
        <f>SUM(L341:S353)</f>
        <v>1</v>
      </c>
      <c r="M354" s="1630"/>
      <c r="N354" s="1625"/>
      <c r="O354" s="1625"/>
      <c r="P354" s="1632"/>
      <c r="Q354" s="1625"/>
      <c r="R354" s="1625"/>
      <c r="S354" s="1625"/>
    </row>
    <row r="355" spans="1:19">
      <c r="A355" s="1673" t="s">
        <v>535</v>
      </c>
      <c r="B355" s="1675"/>
      <c r="C355" s="1673" t="s">
        <v>577</v>
      </c>
      <c r="D355" s="1632"/>
      <c r="E355" s="1632"/>
      <c r="F355" s="1632"/>
      <c r="G355" s="1632"/>
      <c r="H355" s="1632"/>
      <c r="I355" s="1632"/>
      <c r="J355" s="1632"/>
      <c r="K355" s="1632"/>
      <c r="L355" s="1632"/>
      <c r="M355" s="1632"/>
      <c r="N355" s="1673" t="s">
        <v>535</v>
      </c>
      <c r="O355" s="1673" t="s">
        <v>80</v>
      </c>
      <c r="P355" s="1632"/>
      <c r="Q355" s="1632"/>
      <c r="R355" s="1632"/>
      <c r="S355" s="1632"/>
    </row>
    <row r="356" spans="1:19" ht="12.75" customHeight="1">
      <c r="A356" s="1697" t="str">
        <f>'Part II-Development Team'!A153</f>
        <v xml:space="preserve">As with Tindall Seniors Towers (2015-037), Tindall Fields I (2016-043) and Tindall Fields II (2017-028), The Macon Housing Authority is the land owner, and will also be the Management Company for Tindall Fields III. </v>
      </c>
      <c r="B356" s="1697">
        <f>'Part II-Development Team'!B153</f>
        <v>0</v>
      </c>
      <c r="C356" s="1697">
        <f>'Part II-Development Team'!C153</f>
        <v>0</v>
      </c>
      <c r="D356" s="1697">
        <f>'Part II-Development Team'!D153</f>
        <v>0</v>
      </c>
      <c r="E356" s="1697">
        <f>'Part II-Development Team'!E153</f>
        <v>0</v>
      </c>
      <c r="F356" s="1697">
        <f>'Part II-Development Team'!F153</f>
        <v>0</v>
      </c>
      <c r="G356" s="1697">
        <f>'Part II-Development Team'!G153</f>
        <v>0</v>
      </c>
      <c r="H356" s="1697">
        <f>'Part II-Development Team'!H153</f>
        <v>0</v>
      </c>
      <c r="I356" s="1697">
        <f>'Part II-Development Team'!I153</f>
        <v>0</v>
      </c>
      <c r="J356" s="1697">
        <f>'Part II-Development Team'!J153</f>
        <v>0</v>
      </c>
      <c r="K356" s="1697">
        <f>'Part II-Development Team'!K153</f>
        <v>0</v>
      </c>
      <c r="L356" s="1697">
        <f>'Part II-Development Team'!L153</f>
        <v>0</v>
      </c>
      <c r="M356" s="1697">
        <f>'Part II-Development Team'!M153</f>
        <v>0</v>
      </c>
      <c r="N356" s="1697">
        <f>'Part II-Development Team'!N153</f>
        <v>0</v>
      </c>
      <c r="O356" s="1697">
        <f>'Part II-Development Team'!O153</f>
        <v>0</v>
      </c>
      <c r="P356" s="1697">
        <f>'Part II-Development Team'!P153</f>
        <v>0</v>
      </c>
      <c r="Q356" s="1697">
        <f>'Part II-Development Team'!Q153</f>
        <v>0</v>
      </c>
      <c r="R356" s="1697">
        <f>'Part II-Development Team'!R153</f>
        <v>0</v>
      </c>
      <c r="S356" s="1697">
        <f>'Part II-Development Team'!S153</f>
        <v>0</v>
      </c>
    </row>
    <row r="364" spans="1:19">
      <c r="A364" s="1622" t="str">
        <f>CONCATENATE("PART THREE - SOURCES OF FUNDS","  -  ",'Part I-Project Information'!$O$6," ",'Part I-Project Information'!$F$34,", ",'Part I-Project Information'!$F$38,", ",'Part I-Project Information'!$J$39," County")</f>
        <v>PART THREE - SOURCES OF FUNDS  -  2018-013 Tindall Fields III, Macon, Bibb County</v>
      </c>
      <c r="B364" s="1622"/>
      <c r="C364" s="1622"/>
      <c r="D364" s="1622"/>
      <c r="E364" s="1622"/>
      <c r="F364" s="1622"/>
      <c r="G364" s="1622"/>
      <c r="H364" s="1622"/>
      <c r="I364" s="1622"/>
      <c r="J364" s="1622"/>
      <c r="K364" s="1622"/>
      <c r="L364" s="1622"/>
      <c r="M364" s="1622"/>
      <c r="N364" s="1622"/>
      <c r="O364" s="1622"/>
      <c r="P364" s="1622"/>
      <c r="Q364" s="1622"/>
    </row>
    <row r="365" spans="1:19">
      <c r="A365" s="1632"/>
      <c r="B365" s="1632"/>
      <c r="C365" s="1632"/>
      <c r="D365" s="1632"/>
      <c r="E365" s="1632"/>
      <c r="F365" s="1632"/>
      <c r="G365" s="1629"/>
      <c r="H365" s="1629"/>
      <c r="I365" s="1629"/>
      <c r="J365" s="1629"/>
      <c r="K365" s="1629"/>
      <c r="L365" s="1629"/>
      <c r="M365" s="1632"/>
      <c r="N365" s="1632"/>
      <c r="O365" s="1632"/>
      <c r="P365" s="1632"/>
      <c r="Q365" s="1632"/>
    </row>
    <row r="366" spans="1:19" ht="13.5">
      <c r="A366" s="1622" t="s">
        <v>622</v>
      </c>
      <c r="B366" s="1673" t="s">
        <v>2507</v>
      </c>
      <c r="C366" s="1625"/>
      <c r="D366" s="1625"/>
      <c r="E366" s="1625"/>
      <c r="F366" s="1625"/>
      <c r="G366" s="1625"/>
      <c r="H366" s="1637"/>
      <c r="I366" s="1637"/>
      <c r="J366" s="1625"/>
      <c r="K366" s="1637"/>
      <c r="L366" s="1637"/>
      <c r="M366" s="1637"/>
      <c r="N366" s="1637"/>
      <c r="O366" s="1637"/>
      <c r="P366" s="1637"/>
      <c r="Q366" s="1637"/>
    </row>
    <row r="367" spans="1:19" ht="13.5">
      <c r="A367" s="1673"/>
      <c r="B367" s="1623"/>
      <c r="C367" s="1673"/>
      <c r="D367" s="1625"/>
      <c r="E367" s="1625"/>
      <c r="F367" s="1625"/>
      <c r="G367" s="1625"/>
      <c r="H367" s="1637"/>
      <c r="I367" s="1637"/>
      <c r="J367" s="1637"/>
      <c r="K367" s="1637"/>
      <c r="L367" s="1637"/>
      <c r="M367" s="1637"/>
      <c r="N367" s="1637"/>
      <c r="O367" s="1637"/>
      <c r="P367" s="1637"/>
      <c r="Q367" s="1637"/>
    </row>
    <row r="368" spans="1:19" ht="13.5">
      <c r="A368" s="1623"/>
      <c r="B368" s="1630" t="str">
        <f>'Part III-Sources of Funds'!B5</f>
        <v>Yes</v>
      </c>
      <c r="C368" s="1633" t="s">
        <v>2426</v>
      </c>
      <c r="D368" s="1625"/>
      <c r="E368" s="1637"/>
      <c r="F368" s="1637"/>
      <c r="G368" s="1637"/>
      <c r="H368" s="1630" t="str">
        <f>'Part III-Sources of Funds'!H5</f>
        <v>No</v>
      </c>
      <c r="I368" s="1633" t="s">
        <v>1549</v>
      </c>
      <c r="J368" s="1637"/>
      <c r="K368" s="1637"/>
      <c r="L368" s="1630" t="str">
        <f>'Part III-Sources of Funds'!L5</f>
        <v>No</v>
      </c>
      <c r="M368" s="1625" t="s">
        <v>3918</v>
      </c>
      <c r="N368" s="1637"/>
      <c r="O368" s="1637"/>
      <c r="P368" s="1637"/>
      <c r="Q368" s="1637"/>
    </row>
    <row r="369" spans="1:17" ht="13.5">
      <c r="A369" s="1623"/>
      <c r="B369" s="1630" t="str">
        <f>'Part III-Sources of Funds'!B6</f>
        <v>No</v>
      </c>
      <c r="C369" s="1633" t="s">
        <v>555</v>
      </c>
      <c r="D369" s="1625"/>
      <c r="E369" s="1637"/>
      <c r="F369" s="1637"/>
      <c r="G369" s="1637"/>
      <c r="H369" s="1630" t="str">
        <f>'Part III-Sources of Funds'!H6</f>
        <v>No</v>
      </c>
      <c r="I369" s="1633" t="s">
        <v>554</v>
      </c>
      <c r="J369" s="1637"/>
      <c r="K369" s="1637"/>
      <c r="L369" s="1630" t="str">
        <f>'Part III-Sources of Funds'!L6</f>
        <v>No</v>
      </c>
      <c r="M369" s="1633" t="s">
        <v>2618</v>
      </c>
      <c r="N369" s="1637"/>
      <c r="O369" s="1637"/>
      <c r="P369" s="1637"/>
      <c r="Q369" s="1637"/>
    </row>
    <row r="370" spans="1:17" ht="13.5">
      <c r="A370" s="1625"/>
      <c r="B370" s="1630" t="str">
        <f>'Part III-Sources of Funds'!B7</f>
        <v>No</v>
      </c>
      <c r="C370" s="1633" t="s">
        <v>3915</v>
      </c>
      <c r="D370" s="1637"/>
      <c r="E370" s="1637"/>
      <c r="F370" s="1683">
        <f>'Part III-Sources of Funds'!F7</f>
        <v>0</v>
      </c>
      <c r="G370" s="1683">
        <f>'Part III-Sources of Funds'!G7</f>
        <v>0</v>
      </c>
      <c r="H370" s="1630" t="str">
        <f>'Part III-Sources of Funds'!H7</f>
        <v>No</v>
      </c>
      <c r="I370" s="1633" t="s">
        <v>3707</v>
      </c>
      <c r="J370" s="1637"/>
      <c r="K370" s="1637"/>
      <c r="L370" s="1630" t="str">
        <f>'Part III-Sources of Funds'!L7</f>
        <v>No</v>
      </c>
      <c r="M370" s="1633" t="s">
        <v>2619</v>
      </c>
      <c r="N370" s="1637"/>
      <c r="O370" s="1637"/>
      <c r="P370" s="1637"/>
      <c r="Q370" s="1637"/>
    </row>
    <row r="371" spans="1:17" ht="13.5">
      <c r="A371" s="1623"/>
      <c r="B371" s="1630" t="str">
        <f>'Part III-Sources of Funds'!B8</f>
        <v>No</v>
      </c>
      <c r="C371" s="1633" t="s">
        <v>1816</v>
      </c>
      <c r="D371" s="1625"/>
      <c r="E371" s="1637"/>
      <c r="F371" s="1637"/>
      <c r="G371" s="1637"/>
      <c r="H371" s="1630" t="str">
        <f>'Part III-Sources of Funds'!H8</f>
        <v>No</v>
      </c>
      <c r="I371" s="1625" t="s">
        <v>2627</v>
      </c>
      <c r="J371" s="1637"/>
      <c r="K371" s="1637"/>
      <c r="L371" s="1630" t="str">
        <f>'Part III-Sources of Funds'!L8</f>
        <v>No</v>
      </c>
      <c r="M371" s="1633" t="s">
        <v>3712</v>
      </c>
      <c r="N371" s="1637"/>
      <c r="O371" s="1637"/>
      <c r="P371" s="1637"/>
      <c r="Q371" s="1637"/>
    </row>
    <row r="372" spans="1:17" ht="13.5">
      <c r="A372" s="1623"/>
      <c r="B372" s="1630" t="str">
        <f>'Part III-Sources of Funds'!B9</f>
        <v>No</v>
      </c>
      <c r="C372" s="1633" t="s">
        <v>556</v>
      </c>
      <c r="D372" s="1637"/>
      <c r="E372" s="1637"/>
      <c r="F372" s="1637"/>
      <c r="G372" s="1637"/>
      <c r="H372" s="1630" t="str">
        <f>'Part III-Sources of Funds'!H9</f>
        <v>No</v>
      </c>
      <c r="I372" s="1625" t="s">
        <v>2625</v>
      </c>
      <c r="J372" s="1637"/>
      <c r="K372" s="1637"/>
      <c r="L372" s="1630" t="str">
        <f>'Part III-Sources of Funds'!L9</f>
        <v>No</v>
      </c>
      <c r="M372" s="1633" t="s">
        <v>2626</v>
      </c>
      <c r="N372" s="1637"/>
      <c r="O372" s="1637"/>
      <c r="P372" s="1637"/>
      <c r="Q372" s="1637"/>
    </row>
    <row r="373" spans="1:17" ht="13.5">
      <c r="A373" s="1623"/>
      <c r="B373" s="1630" t="str">
        <f>'Part III-Sources of Funds'!B10</f>
        <v>No</v>
      </c>
      <c r="C373" s="1633" t="s">
        <v>3916</v>
      </c>
      <c r="D373" s="1637"/>
      <c r="E373" s="1637"/>
      <c r="F373" s="1637"/>
      <c r="G373" s="1714"/>
      <c r="H373" s="1630" t="str">
        <f>'Part III-Sources of Funds'!H10</f>
        <v>No</v>
      </c>
      <c r="I373" s="1625" t="s">
        <v>3746</v>
      </c>
      <c r="J373" s="1621"/>
      <c r="K373" s="1621"/>
      <c r="L373" s="1630" t="str">
        <f>'Part III-Sources of Funds'!L10</f>
        <v>Yes</v>
      </c>
      <c r="M373" s="1633" t="s">
        <v>3748</v>
      </c>
      <c r="N373" s="1637"/>
      <c r="O373" s="1637" t="str">
        <f>'Part III-Sources of Funds'!O10</f>
        <v>PHA Project-Based Vouchers</v>
      </c>
      <c r="P373" s="1637">
        <f>'Part III-Sources of Funds'!P10</f>
        <v>0</v>
      </c>
      <c r="Q373" s="1637">
        <f>'Part III-Sources of Funds'!Q10</f>
        <v>0</v>
      </c>
    </row>
    <row r="374" spans="1:17" ht="13.5">
      <c r="A374" s="1623"/>
      <c r="B374" s="1630" t="str">
        <f>'Part III-Sources of Funds'!B11</f>
        <v>No</v>
      </c>
      <c r="C374" s="1633" t="s">
        <v>4756</v>
      </c>
      <c r="D374" s="1625"/>
      <c r="E374" s="1715">
        <f>'Part III-Sources of Funds'!E11</f>
        <v>0</v>
      </c>
      <c r="F374" s="1716">
        <f>'Part III-Sources of Funds'!F11</f>
        <v>0</v>
      </c>
      <c r="G374" s="1637"/>
      <c r="H374" s="1630" t="str">
        <f>'Part III-Sources of Funds'!H11</f>
        <v>No</v>
      </c>
      <c r="I374" s="1625" t="s">
        <v>3751</v>
      </c>
      <c r="J374" s="1637"/>
      <c r="K374" s="1637"/>
      <c r="L374" s="1630" t="str">
        <f>'Part III-Sources of Funds'!L11</f>
        <v>No</v>
      </c>
      <c r="M374" s="1625" t="s">
        <v>3646</v>
      </c>
      <c r="N374" s="1637"/>
      <c r="O374" s="1637"/>
      <c r="P374" s="1637"/>
      <c r="Q374" s="1637"/>
    </row>
    <row r="375" spans="1:17" ht="13.5">
      <c r="A375" s="1623"/>
      <c r="B375" s="1630" t="str">
        <f>'Part III-Sources of Funds'!B12</f>
        <v>No</v>
      </c>
      <c r="C375" s="1633" t="s">
        <v>4757</v>
      </c>
      <c r="D375" s="1637"/>
      <c r="E375" s="1715">
        <f>'Part III-Sources of Funds'!E12</f>
        <v>0</v>
      </c>
      <c r="F375" s="1716">
        <f>'Part III-Sources of Funds'!F12</f>
        <v>0</v>
      </c>
      <c r="G375" s="1637"/>
      <c r="H375" s="1630" t="str">
        <f>'Part III-Sources of Funds'!H12</f>
        <v>No</v>
      </c>
      <c r="I375" s="1687" t="s">
        <v>2814</v>
      </c>
      <c r="J375" s="1687"/>
      <c r="K375" s="1687"/>
      <c r="L375" s="1630" t="str">
        <f>'Part III-Sources of Funds'!L12</f>
        <v>Yes</v>
      </c>
      <c r="M375" s="1637" t="str">
        <f>'Part III-Sources of Funds'!M12</f>
        <v>Local Government Loan</v>
      </c>
      <c r="N375" s="1637">
        <f>'Part III-Sources of Funds'!N12</f>
        <v>0</v>
      </c>
      <c r="O375" s="1637">
        <f>'Part III-Sources of Funds'!O12</f>
        <v>0</v>
      </c>
      <c r="P375" s="1637">
        <f>'Part III-Sources of Funds'!P12</f>
        <v>0</v>
      </c>
      <c r="Q375" s="1637">
        <f>'Part III-Sources of Funds'!Q12</f>
        <v>0</v>
      </c>
    </row>
    <row r="376" spans="1:17" ht="13.5">
      <c r="A376" s="1623"/>
      <c r="B376" s="1637"/>
      <c r="C376" s="1637" t="s">
        <v>3747</v>
      </c>
      <c r="D376" s="1637"/>
      <c r="E376" s="1637" t="str">
        <f>'Part III-Sources of Funds'!E13</f>
        <v>Specify Other HOME Source here</v>
      </c>
      <c r="F376" s="1637">
        <f>'Part III-Sources of Funds'!F13</f>
        <v>0</v>
      </c>
      <c r="G376" s="1637">
        <f>'Part III-Sources of Funds'!G13</f>
        <v>0</v>
      </c>
      <c r="H376" s="1630" t="str">
        <f>'Part III-Sources of Funds'!H13</f>
        <v>No</v>
      </c>
      <c r="I376" s="1633" t="s">
        <v>3917</v>
      </c>
      <c r="J376" s="1687"/>
      <c r="K376" s="1687"/>
      <c r="L376" s="1637"/>
      <c r="M376" s="1637" t="str">
        <f>'Part III-Sources of Funds'!M13</f>
        <v>Macon-Bibb County Urban Development Authority</v>
      </c>
      <c r="N376" s="1637">
        <f>'Part III-Sources of Funds'!N13</f>
        <v>0</v>
      </c>
      <c r="O376" s="1637">
        <f>'Part III-Sources of Funds'!O13</f>
        <v>0</v>
      </c>
      <c r="P376" s="1637">
        <f>'Part III-Sources of Funds'!P13</f>
        <v>0</v>
      </c>
      <c r="Q376" s="1637">
        <f>'Part III-Sources of Funds'!Q13</f>
        <v>0</v>
      </c>
    </row>
    <row r="377" spans="1:17" ht="13.5">
      <c r="A377" s="1623"/>
      <c r="B377" s="1637" t="s">
        <v>3713</v>
      </c>
      <c r="C377" s="1625"/>
      <c r="D377" s="1625"/>
      <c r="E377" s="1625"/>
      <c r="F377" s="1625"/>
      <c r="G377" s="1625"/>
      <c r="H377" s="1625"/>
      <c r="I377" s="1625"/>
      <c r="J377" s="1625"/>
      <c r="K377" s="1625"/>
      <c r="L377" s="1625"/>
      <c r="M377" s="1656"/>
      <c r="N377" s="1625"/>
      <c r="O377" s="1625"/>
      <c r="P377" s="1625"/>
      <c r="Q377" s="1625"/>
    </row>
    <row r="378" spans="1:17" ht="13.5">
      <c r="A378" s="1623"/>
      <c r="B378" s="1637"/>
      <c r="C378" s="1637"/>
      <c r="D378" s="1637"/>
      <c r="E378" s="1637"/>
      <c r="F378" s="1637"/>
      <c r="G378" s="1637"/>
      <c r="H378" s="1637"/>
      <c r="I378" s="1637"/>
      <c r="J378" s="1637"/>
      <c r="K378" s="1637"/>
      <c r="L378" s="1625"/>
      <c r="M378" s="1656"/>
      <c r="N378" s="1625"/>
      <c r="O378" s="1625"/>
      <c r="P378" s="1625"/>
      <c r="Q378" s="1625"/>
    </row>
    <row r="379" spans="1:17" ht="13.5">
      <c r="A379" s="1622" t="s">
        <v>748</v>
      </c>
      <c r="B379" s="1626" t="s">
        <v>2361</v>
      </c>
      <c r="C379" s="1625"/>
      <c r="D379" s="1625"/>
      <c r="E379" s="1625"/>
      <c r="F379" s="1625"/>
      <c r="G379" s="1625"/>
      <c r="H379" s="1637"/>
      <c r="I379" s="1695"/>
      <c r="J379" s="1695"/>
      <c r="K379" s="1695"/>
      <c r="L379" s="1625"/>
      <c r="M379" s="1625"/>
      <c r="N379" s="1625"/>
      <c r="O379" s="1625"/>
      <c r="P379" s="1625"/>
      <c r="Q379" s="1625"/>
    </row>
    <row r="380" spans="1:17" ht="13.5">
      <c r="A380" s="1622"/>
      <c r="B380" s="1626"/>
      <c r="C380" s="1625"/>
      <c r="D380" s="1695"/>
      <c r="E380" s="1695"/>
      <c r="F380" s="1695"/>
      <c r="G380" s="1695"/>
      <c r="H380" s="1695"/>
      <c r="I380" s="1695"/>
      <c r="J380" s="1695"/>
      <c r="K380" s="1625"/>
      <c r="L380" s="1625"/>
      <c r="M380" s="1625"/>
      <c r="N380" s="1630"/>
      <c r="O380" s="1630"/>
      <c r="P380" s="1625"/>
      <c r="Q380" s="1625"/>
    </row>
    <row r="381" spans="1:17">
      <c r="A381" s="1625"/>
      <c r="B381" s="1633" t="s">
        <v>1885</v>
      </c>
      <c r="C381" s="1625"/>
      <c r="D381" s="1625"/>
      <c r="E381" s="1625"/>
      <c r="F381" s="1625"/>
      <c r="G381" s="1625"/>
      <c r="H381" s="1625" t="s">
        <v>1309</v>
      </c>
      <c r="I381" s="1625"/>
      <c r="J381" s="1625"/>
      <c r="K381" s="1625"/>
      <c r="L381" s="1625" t="s">
        <v>2006</v>
      </c>
      <c r="M381" s="1625"/>
      <c r="N381" s="1625" t="s">
        <v>1519</v>
      </c>
      <c r="O381" s="1625"/>
      <c r="P381" s="1625" t="s">
        <v>1643</v>
      </c>
      <c r="Q381" s="1625"/>
    </row>
    <row r="382" spans="1:17" ht="38.25">
      <c r="A382" s="1625"/>
      <c r="B382" s="1625" t="s">
        <v>1603</v>
      </c>
      <c r="C382" s="1625"/>
      <c r="D382" s="1625"/>
      <c r="E382" s="1625"/>
      <c r="F382" s="1625"/>
      <c r="G382" s="1625"/>
      <c r="H382" s="1704" t="str">
        <f>'Part III-Sources of Funds'!H19</f>
        <v>Macon-Bibb County Urban Development Authority</v>
      </c>
      <c r="I382" s="1704">
        <f>'Part III-Sources of Funds'!I19</f>
        <v>0</v>
      </c>
      <c r="J382" s="1704">
        <f>'Part III-Sources of Funds'!J19</f>
        <v>0</v>
      </c>
      <c r="K382" s="1704">
        <f>'Part III-Sources of Funds'!K19</f>
        <v>0</v>
      </c>
      <c r="L382" s="1640">
        <f>'Part III-Sources of Funds'!L19</f>
        <v>1400000</v>
      </c>
      <c r="M382" s="1640">
        <f>'Part III-Sources of Funds'!M19</f>
        <v>0</v>
      </c>
      <c r="N382" s="1717">
        <f>'Part III-Sources of Funds'!N19</f>
        <v>0.02</v>
      </c>
      <c r="O382" s="1717">
        <f>'Part III-Sources of Funds'!O19</f>
        <v>0</v>
      </c>
      <c r="P382" s="1718">
        <f>'Part III-Sources of Funds'!P19</f>
        <v>24</v>
      </c>
      <c r="Q382" s="1718">
        <f>'Part III-Sources of Funds'!Q19</f>
        <v>0</v>
      </c>
    </row>
    <row r="383" spans="1:17">
      <c r="A383" s="1625"/>
      <c r="B383" s="1625" t="s">
        <v>1604</v>
      </c>
      <c r="C383" s="1625"/>
      <c r="D383" s="1625"/>
      <c r="E383" s="1625"/>
      <c r="F383" s="1625"/>
      <c r="G383" s="1625"/>
      <c r="H383" s="1704" t="str">
        <f>'Part III-Sources of Funds'!H20</f>
        <v>Wells Fargo</v>
      </c>
      <c r="I383" s="1704">
        <f>'Part III-Sources of Funds'!I20</f>
        <v>0</v>
      </c>
      <c r="J383" s="1704">
        <f>'Part III-Sources of Funds'!J20</f>
        <v>0</v>
      </c>
      <c r="K383" s="1704">
        <f>'Part III-Sources of Funds'!K20</f>
        <v>0</v>
      </c>
      <c r="L383" s="1640">
        <f>'Part III-Sources of Funds'!L20</f>
        <v>1500000</v>
      </c>
      <c r="M383" s="1640">
        <f>'Part III-Sources of Funds'!M20</f>
        <v>0</v>
      </c>
      <c r="N383" s="1717">
        <f>'Part III-Sources of Funds'!N20</f>
        <v>3.8399999999999997E-2</v>
      </c>
      <c r="O383" s="1717">
        <f>'Part III-Sources of Funds'!O20</f>
        <v>0</v>
      </c>
      <c r="P383" s="1718">
        <f>'Part III-Sources of Funds'!P20</f>
        <v>24</v>
      </c>
      <c r="Q383" s="1718">
        <f>'Part III-Sources of Funds'!Q20</f>
        <v>0</v>
      </c>
    </row>
    <row r="384" spans="1:17">
      <c r="A384" s="1625"/>
      <c r="B384" s="1625" t="s">
        <v>1605</v>
      </c>
      <c r="C384" s="1625"/>
      <c r="D384" s="1625"/>
      <c r="E384" s="1625"/>
      <c r="F384" s="1625"/>
      <c r="G384" s="1625"/>
      <c r="H384" s="1704">
        <f>'Part III-Sources of Funds'!H21</f>
        <v>0</v>
      </c>
      <c r="I384" s="1704">
        <f>'Part III-Sources of Funds'!I21</f>
        <v>0</v>
      </c>
      <c r="J384" s="1704">
        <f>'Part III-Sources of Funds'!J21</f>
        <v>0</v>
      </c>
      <c r="K384" s="1704">
        <f>'Part III-Sources of Funds'!K21</f>
        <v>0</v>
      </c>
      <c r="L384" s="1640">
        <f>'Part III-Sources of Funds'!L21</f>
        <v>0</v>
      </c>
      <c r="M384" s="1640">
        <f>'Part III-Sources of Funds'!M21</f>
        <v>0</v>
      </c>
      <c r="N384" s="1717">
        <f>'Part III-Sources of Funds'!N21</f>
        <v>0</v>
      </c>
      <c r="O384" s="1717">
        <f>'Part III-Sources of Funds'!O21</f>
        <v>0</v>
      </c>
      <c r="P384" s="1718">
        <f>'Part III-Sources of Funds'!P21</f>
        <v>0</v>
      </c>
      <c r="Q384" s="1718">
        <f>'Part III-Sources of Funds'!Q21</f>
        <v>0</v>
      </c>
    </row>
    <row r="385" spans="1:17">
      <c r="A385" s="1625"/>
      <c r="B385" s="1625" t="s">
        <v>2231</v>
      </c>
      <c r="C385" s="1625"/>
      <c r="D385" s="1625"/>
      <c r="E385" s="1625"/>
      <c r="F385" s="1625"/>
      <c r="G385" s="1625"/>
      <c r="H385" s="1704">
        <f>'Part III-Sources of Funds'!H22</f>
        <v>0</v>
      </c>
      <c r="I385" s="1704">
        <f>'Part III-Sources of Funds'!I22</f>
        <v>0</v>
      </c>
      <c r="J385" s="1704">
        <f>'Part III-Sources of Funds'!J22</f>
        <v>0</v>
      </c>
      <c r="K385" s="1704">
        <f>'Part III-Sources of Funds'!K22</f>
        <v>0</v>
      </c>
      <c r="L385" s="1640">
        <f>'Part III-Sources of Funds'!L22</f>
        <v>0</v>
      </c>
      <c r="M385" s="1640">
        <f>'Part III-Sources of Funds'!M22</f>
        <v>0</v>
      </c>
      <c r="N385" s="1717"/>
      <c r="O385" s="1717"/>
      <c r="P385" s="1625"/>
      <c r="Q385" s="1625"/>
    </row>
    <row r="386" spans="1:17" ht="13.5">
      <c r="A386" s="1625"/>
      <c r="B386" s="1625" t="s">
        <v>809</v>
      </c>
      <c r="C386" s="1625"/>
      <c r="D386" s="1625"/>
      <c r="E386" s="1625"/>
      <c r="F386" s="1637"/>
      <c r="G386" s="1637"/>
      <c r="H386" s="1704">
        <f>'Part III-Sources of Funds'!H23</f>
        <v>0</v>
      </c>
      <c r="I386" s="1704">
        <f>'Part III-Sources of Funds'!I23</f>
        <v>0</v>
      </c>
      <c r="J386" s="1704">
        <f>'Part III-Sources of Funds'!J23</f>
        <v>0</v>
      </c>
      <c r="K386" s="1704">
        <f>'Part III-Sources of Funds'!K23</f>
        <v>0</v>
      </c>
      <c r="L386" s="1640">
        <f>'Part III-Sources of Funds'!L23</f>
        <v>0</v>
      </c>
      <c r="M386" s="1640">
        <f>'Part III-Sources of Funds'!M23</f>
        <v>0</v>
      </c>
      <c r="N386" s="1717"/>
      <c r="O386" s="1717"/>
      <c r="P386" s="1625"/>
      <c r="Q386" s="1625"/>
    </row>
    <row r="387" spans="1:17" ht="13.5">
      <c r="A387" s="1625"/>
      <c r="B387" s="1625" t="s">
        <v>647</v>
      </c>
      <c r="C387" s="1625"/>
      <c r="D387" s="1625"/>
      <c r="E387" s="1625"/>
      <c r="F387" s="1637"/>
      <c r="G387" s="1637"/>
      <c r="H387" s="1704">
        <f>'Part III-Sources of Funds'!H24</f>
        <v>0</v>
      </c>
      <c r="I387" s="1704">
        <f>'Part III-Sources of Funds'!I24</f>
        <v>0</v>
      </c>
      <c r="J387" s="1704">
        <f>'Part III-Sources of Funds'!J24</f>
        <v>0</v>
      </c>
      <c r="K387" s="1704">
        <f>'Part III-Sources of Funds'!K24</f>
        <v>0</v>
      </c>
      <c r="L387" s="1640">
        <f>'Part III-Sources of Funds'!L24</f>
        <v>0</v>
      </c>
      <c r="M387" s="1640">
        <f>'Part III-Sources of Funds'!M24</f>
        <v>0</v>
      </c>
      <c r="N387" s="1717"/>
      <c r="O387" s="1717"/>
      <c r="P387" s="1625"/>
      <c r="Q387" s="1625"/>
    </row>
    <row r="388" spans="1:17" ht="13.5">
      <c r="A388" s="1625"/>
      <c r="B388" s="1625" t="s">
        <v>810</v>
      </c>
      <c r="C388" s="1625"/>
      <c r="D388" s="1625"/>
      <c r="E388" s="1625"/>
      <c r="F388" s="1637"/>
      <c r="G388" s="1637"/>
      <c r="H388" s="1704" t="str">
        <f>'Part III-Sources of Funds'!H25</f>
        <v>Wells Fargo</v>
      </c>
      <c r="I388" s="1704">
        <f>'Part III-Sources of Funds'!I25</f>
        <v>0</v>
      </c>
      <c r="J388" s="1704">
        <f>'Part III-Sources of Funds'!J25</f>
        <v>0</v>
      </c>
      <c r="K388" s="1704">
        <f>'Part III-Sources of Funds'!K25</f>
        <v>0</v>
      </c>
      <c r="L388" s="1640">
        <f>'Part III-Sources of Funds'!L25</f>
        <v>6129364</v>
      </c>
      <c r="M388" s="1640">
        <f>'Part III-Sources of Funds'!M25</f>
        <v>0</v>
      </c>
      <c r="N388" s="1625"/>
      <c r="O388" s="1625"/>
      <c r="P388" s="1625"/>
      <c r="Q388" s="1625"/>
    </row>
    <row r="389" spans="1:17" ht="13.5">
      <c r="A389" s="1625"/>
      <c r="B389" s="1625" t="s">
        <v>811</v>
      </c>
      <c r="C389" s="1625"/>
      <c r="D389" s="1625"/>
      <c r="E389" s="1625"/>
      <c r="F389" s="1637"/>
      <c r="G389" s="1637"/>
      <c r="H389" s="1704" t="str">
        <f>'Part III-Sources of Funds'!H26</f>
        <v>Wells Fargo</v>
      </c>
      <c r="I389" s="1704">
        <f>'Part III-Sources of Funds'!I26</f>
        <v>0</v>
      </c>
      <c r="J389" s="1704">
        <f>'Part III-Sources of Funds'!J26</f>
        <v>0</v>
      </c>
      <c r="K389" s="1704">
        <f>'Part III-Sources of Funds'!K26</f>
        <v>0</v>
      </c>
      <c r="L389" s="1640">
        <f>'Part III-Sources of Funds'!L26</f>
        <v>3966850</v>
      </c>
      <c r="M389" s="1640">
        <f>'Part III-Sources of Funds'!M26</f>
        <v>0</v>
      </c>
      <c r="N389" s="1625"/>
      <c r="O389" s="1637"/>
      <c r="P389" s="1637"/>
      <c r="Q389" s="1625"/>
    </row>
    <row r="390" spans="1:17" ht="13.5">
      <c r="A390" s="1625"/>
      <c r="B390" s="1625" t="s">
        <v>244</v>
      </c>
      <c r="C390" s="1625"/>
      <c r="D390" s="1704">
        <f>'Part III-Sources of Funds'!D27</f>
        <v>0</v>
      </c>
      <c r="E390" s="1704">
        <f>'Part III-Sources of Funds'!E27</f>
        <v>0</v>
      </c>
      <c r="F390" s="1704">
        <f>'Part III-Sources of Funds'!F27</f>
        <v>0</v>
      </c>
      <c r="G390" s="1704">
        <f>'Part III-Sources of Funds'!G27</f>
        <v>0</v>
      </c>
      <c r="H390" s="1704">
        <f>'Part III-Sources of Funds'!H27</f>
        <v>0</v>
      </c>
      <c r="I390" s="1704">
        <f>'Part III-Sources of Funds'!I27</f>
        <v>0</v>
      </c>
      <c r="J390" s="1704">
        <f>'Part III-Sources of Funds'!J27</f>
        <v>0</v>
      </c>
      <c r="K390" s="1704">
        <f>'Part III-Sources of Funds'!K27</f>
        <v>0</v>
      </c>
      <c r="L390" s="1640">
        <f>'Part III-Sources of Funds'!L27</f>
        <v>0</v>
      </c>
      <c r="M390" s="1640">
        <f>'Part III-Sources of Funds'!M27</f>
        <v>0</v>
      </c>
      <c r="N390" s="1625"/>
      <c r="O390" s="1637"/>
      <c r="P390" s="1637"/>
      <c r="Q390" s="1625"/>
    </row>
    <row r="391" spans="1:17" ht="13.5">
      <c r="A391" s="1625"/>
      <c r="B391" s="1625" t="s">
        <v>244</v>
      </c>
      <c r="C391" s="1625"/>
      <c r="D391" s="1704">
        <f>'Part III-Sources of Funds'!D28</f>
        <v>0</v>
      </c>
      <c r="E391" s="1704">
        <f>'Part III-Sources of Funds'!E28</f>
        <v>0</v>
      </c>
      <c r="F391" s="1704">
        <f>'Part III-Sources of Funds'!F28</f>
        <v>0</v>
      </c>
      <c r="G391" s="1704">
        <f>'Part III-Sources of Funds'!G28</f>
        <v>0</v>
      </c>
      <c r="H391" s="1704">
        <f>'Part III-Sources of Funds'!H28</f>
        <v>0</v>
      </c>
      <c r="I391" s="1704">
        <f>'Part III-Sources of Funds'!I28</f>
        <v>0</v>
      </c>
      <c r="J391" s="1704">
        <f>'Part III-Sources of Funds'!J28</f>
        <v>0</v>
      </c>
      <c r="K391" s="1704">
        <f>'Part III-Sources of Funds'!K28</f>
        <v>0</v>
      </c>
      <c r="L391" s="1640">
        <f>'Part III-Sources of Funds'!L28</f>
        <v>0</v>
      </c>
      <c r="M391" s="1640">
        <f>'Part III-Sources of Funds'!M28</f>
        <v>0</v>
      </c>
      <c r="N391" s="1625"/>
      <c r="O391" s="1637"/>
      <c r="P391" s="1637"/>
      <c r="Q391" s="1637"/>
    </row>
    <row r="392" spans="1:17" ht="13.5">
      <c r="A392" s="1625"/>
      <c r="B392" s="1625" t="s">
        <v>244</v>
      </c>
      <c r="C392" s="1625"/>
      <c r="D392" s="1704">
        <f>'Part III-Sources of Funds'!D29</f>
        <v>0</v>
      </c>
      <c r="E392" s="1704">
        <f>'Part III-Sources of Funds'!E29</f>
        <v>0</v>
      </c>
      <c r="F392" s="1704">
        <f>'Part III-Sources of Funds'!F29</f>
        <v>0</v>
      </c>
      <c r="G392" s="1704">
        <f>'Part III-Sources of Funds'!G29</f>
        <v>0</v>
      </c>
      <c r="H392" s="1704">
        <f>'Part III-Sources of Funds'!H29</f>
        <v>0</v>
      </c>
      <c r="I392" s="1704">
        <f>'Part III-Sources of Funds'!I29</f>
        <v>0</v>
      </c>
      <c r="J392" s="1704">
        <f>'Part III-Sources of Funds'!J29</f>
        <v>0</v>
      </c>
      <c r="K392" s="1704">
        <f>'Part III-Sources of Funds'!K29</f>
        <v>0</v>
      </c>
      <c r="L392" s="1640">
        <f>'Part III-Sources of Funds'!L29</f>
        <v>0</v>
      </c>
      <c r="M392" s="1640">
        <f>'Part III-Sources of Funds'!M29</f>
        <v>0</v>
      </c>
      <c r="N392" s="1625"/>
      <c r="O392" s="1637"/>
      <c r="P392" s="1637"/>
      <c r="Q392" s="1637"/>
    </row>
    <row r="393" spans="1:17" ht="13.5">
      <c r="A393" s="1625"/>
      <c r="B393" s="1626" t="s">
        <v>1310</v>
      </c>
      <c r="C393" s="1625"/>
      <c r="D393" s="1625"/>
      <c r="E393" s="1625"/>
      <c r="F393" s="1625"/>
      <c r="G393" s="1625"/>
      <c r="H393" s="1625"/>
      <c r="I393" s="1625"/>
      <c r="J393" s="1637"/>
      <c r="K393" s="1637"/>
      <c r="L393" s="1719">
        <f>SUM(L382:L392)</f>
        <v>12996214</v>
      </c>
      <c r="M393" s="1719"/>
      <c r="N393" s="1632"/>
      <c r="O393" s="1637"/>
      <c r="P393" s="1637"/>
      <c r="Q393" s="1637"/>
    </row>
    <row r="394" spans="1:17" ht="13.5">
      <c r="A394" s="1625"/>
      <c r="B394" s="1633" t="s">
        <v>1311</v>
      </c>
      <c r="C394" s="1625"/>
      <c r="D394" s="1625"/>
      <c r="E394" s="1625"/>
      <c r="F394" s="1625"/>
      <c r="G394" s="1625"/>
      <c r="H394" s="1625"/>
      <c r="I394" s="1625"/>
      <c r="J394" s="1637"/>
      <c r="K394" s="1637"/>
      <c r="L394" s="1719">
        <f>'Part III-Sources of Funds'!L31</f>
        <v>12848244</v>
      </c>
      <c r="M394" s="1719">
        <f>'Part III-Sources of Funds'!M31</f>
        <v>0</v>
      </c>
      <c r="N394" s="1639"/>
      <c r="O394" s="1637"/>
      <c r="P394" s="1637"/>
      <c r="Q394" s="1637"/>
    </row>
    <row r="395" spans="1:17" ht="13.5">
      <c r="A395" s="1625"/>
      <c r="B395" s="1633" t="s">
        <v>2173</v>
      </c>
      <c r="C395" s="1625"/>
      <c r="D395" s="1625"/>
      <c r="E395" s="1625"/>
      <c r="F395" s="1625"/>
      <c r="G395" s="1625"/>
      <c r="H395" s="1625"/>
      <c r="I395" s="1625"/>
      <c r="J395" s="1637"/>
      <c r="K395" s="1637"/>
      <c r="L395" s="1720">
        <f>L393-L394</f>
        <v>147970</v>
      </c>
      <c r="M395" s="1720"/>
      <c r="N395" s="1639"/>
      <c r="O395" s="1637"/>
      <c r="P395" s="1637"/>
      <c r="Q395" s="1637"/>
    </row>
    <row r="396" spans="1:17" ht="13.5">
      <c r="A396" s="1673"/>
      <c r="B396" s="1626"/>
      <c r="C396" s="1632"/>
      <c r="D396" s="1632"/>
      <c r="E396" s="1632"/>
      <c r="F396" s="1632"/>
      <c r="G396" s="1632"/>
      <c r="H396" s="1632"/>
      <c r="I396" s="1632"/>
      <c r="J396" s="1632"/>
      <c r="K396" s="1632"/>
      <c r="L396" s="1632"/>
      <c r="M396" s="1630"/>
      <c r="N396" s="1630"/>
      <c r="O396" s="1721"/>
      <c r="P396" s="1721"/>
      <c r="Q396" s="1721"/>
    </row>
    <row r="397" spans="1:17" ht="13.5">
      <c r="A397" s="1622" t="s">
        <v>750</v>
      </c>
      <c r="B397" s="1626" t="s">
        <v>808</v>
      </c>
      <c r="C397" s="1632"/>
      <c r="D397" s="1632"/>
      <c r="E397" s="1632"/>
      <c r="F397" s="1632"/>
      <c r="G397" s="1632"/>
      <c r="H397" s="1632"/>
      <c r="I397" s="1632"/>
      <c r="J397" s="1632"/>
      <c r="K397" s="1632"/>
      <c r="L397" s="1632"/>
      <c r="M397" s="1630"/>
      <c r="N397" s="1630"/>
      <c r="O397" s="1632"/>
      <c r="P397" s="1721"/>
      <c r="Q397" s="1721"/>
    </row>
    <row r="398" spans="1:17" ht="13.5" customHeight="1">
      <c r="A398" s="1625"/>
      <c r="B398" s="1625"/>
      <c r="C398" s="1625"/>
      <c r="D398" s="1625"/>
      <c r="E398" s="1625"/>
      <c r="F398" s="1630"/>
      <c r="G398" s="1630"/>
      <c r="H398" s="1625"/>
      <c r="I398" s="1625"/>
      <c r="J398" s="1637"/>
      <c r="K398" s="1650" t="s">
        <v>2115</v>
      </c>
      <c r="L398" s="1630" t="s">
        <v>1307</v>
      </c>
      <c r="M398" s="1630" t="s">
        <v>1312</v>
      </c>
      <c r="N398" s="1639" t="s">
        <v>35</v>
      </c>
      <c r="O398" s="1639"/>
      <c r="P398" s="1630"/>
      <c r="Q398" s="1622"/>
    </row>
    <row r="399" spans="1:17">
      <c r="A399" s="1625"/>
      <c r="B399" s="1633" t="s">
        <v>1885</v>
      </c>
      <c r="C399" s="1625"/>
      <c r="D399" s="1625"/>
      <c r="E399" s="1625" t="s">
        <v>1309</v>
      </c>
      <c r="F399" s="1625"/>
      <c r="G399" s="1625"/>
      <c r="H399" s="1625"/>
      <c r="I399" s="1625" t="s">
        <v>493</v>
      </c>
      <c r="J399" s="1625"/>
      <c r="K399" s="1630" t="s">
        <v>1819</v>
      </c>
      <c r="L399" s="1630" t="s">
        <v>2230</v>
      </c>
      <c r="M399" s="1630" t="s">
        <v>2230</v>
      </c>
      <c r="N399" s="1639"/>
      <c r="O399" s="1639"/>
      <c r="P399" s="1625" t="s">
        <v>75</v>
      </c>
      <c r="Q399" s="1625"/>
    </row>
    <row r="400" spans="1:17" ht="51">
      <c r="A400" s="1625"/>
      <c r="B400" s="1625" t="s">
        <v>2631</v>
      </c>
      <c r="C400" s="1625"/>
      <c r="D400" s="1625"/>
      <c r="E400" s="1704" t="str">
        <f>'Part III-Sources of Funds'!E37</f>
        <v>Macon-Bibb Co. Urban Development Authority</v>
      </c>
      <c r="F400" s="1704">
        <f>'Part III-Sources of Funds'!F37</f>
        <v>0</v>
      </c>
      <c r="G400" s="1704">
        <f>'Part III-Sources of Funds'!G37</f>
        <v>0</v>
      </c>
      <c r="H400" s="1704">
        <f>'Part III-Sources of Funds'!H37</f>
        <v>0</v>
      </c>
      <c r="I400" s="1661">
        <f>'Part III-Sources of Funds'!I37</f>
        <v>1400000</v>
      </c>
      <c r="J400" s="1625">
        <f>'Part III-Sources of Funds'!J37</f>
        <v>0</v>
      </c>
      <c r="K400" s="1722">
        <f>'Part III-Sources of Funds'!K37</f>
        <v>0.02</v>
      </c>
      <c r="L400" s="1630">
        <f>'Part III-Sources of Funds'!L37</f>
        <v>10</v>
      </c>
      <c r="M400" s="1630">
        <f>'Part III-Sources of Funds'!M37</f>
        <v>30</v>
      </c>
      <c r="N400" s="1723">
        <f>'Part III-Sources of Funds'!N37</f>
        <v>62096.071411721852</v>
      </c>
      <c r="O400" s="1723">
        <f>'Part III-Sources of Funds'!O37</f>
        <v>0</v>
      </c>
      <c r="P400" s="1625" t="str">
        <f>'Part III-Sources of Funds'!P37</f>
        <v>Amortizing</v>
      </c>
      <c r="Q400" s="1625">
        <f>'Part III-Sources of Funds'!Q37</f>
        <v>0</v>
      </c>
    </row>
    <row r="401" spans="1:17">
      <c r="A401" s="1625"/>
      <c r="B401" s="1625" t="s">
        <v>2632</v>
      </c>
      <c r="C401" s="1625"/>
      <c r="D401" s="1625"/>
      <c r="E401" s="1704">
        <f>'Part III-Sources of Funds'!E38</f>
        <v>0</v>
      </c>
      <c r="F401" s="1704">
        <f>'Part III-Sources of Funds'!F38</f>
        <v>0</v>
      </c>
      <c r="G401" s="1704">
        <f>'Part III-Sources of Funds'!G38</f>
        <v>0</v>
      </c>
      <c r="H401" s="1704">
        <f>'Part III-Sources of Funds'!H38</f>
        <v>0</v>
      </c>
      <c r="I401" s="1661">
        <f>'Part III-Sources of Funds'!I38</f>
        <v>0</v>
      </c>
      <c r="J401" s="1625">
        <f>'Part III-Sources of Funds'!J38</f>
        <v>0</v>
      </c>
      <c r="K401" s="1722">
        <f>'Part III-Sources of Funds'!K38</f>
        <v>0</v>
      </c>
      <c r="L401" s="1630">
        <f>'Part III-Sources of Funds'!L38</f>
        <v>0</v>
      </c>
      <c r="M401" s="1630">
        <f>'Part III-Sources of Funds'!M38</f>
        <v>0</v>
      </c>
      <c r="N401" s="1723" t="str">
        <f>'Part III-Sources of Funds'!N38</f>
        <v/>
      </c>
      <c r="O401" s="1723">
        <f>'Part III-Sources of Funds'!O38</f>
        <v>0</v>
      </c>
      <c r="P401" s="1625">
        <f>'Part III-Sources of Funds'!P38</f>
        <v>0</v>
      </c>
      <c r="Q401" s="1625">
        <f>'Part III-Sources of Funds'!Q38</f>
        <v>0</v>
      </c>
    </row>
    <row r="402" spans="1:17">
      <c r="A402" s="1625"/>
      <c r="B402" s="1625" t="s">
        <v>2633</v>
      </c>
      <c r="C402" s="1625"/>
      <c r="D402" s="1625"/>
      <c r="E402" s="1704">
        <f>'Part III-Sources of Funds'!E39</f>
        <v>0</v>
      </c>
      <c r="F402" s="1704">
        <f>'Part III-Sources of Funds'!F39</f>
        <v>0</v>
      </c>
      <c r="G402" s="1704">
        <f>'Part III-Sources of Funds'!G39</f>
        <v>0</v>
      </c>
      <c r="H402" s="1704">
        <f>'Part III-Sources of Funds'!H39</f>
        <v>0</v>
      </c>
      <c r="I402" s="1661">
        <f>'Part III-Sources of Funds'!I39</f>
        <v>0</v>
      </c>
      <c r="J402" s="1625">
        <f>'Part III-Sources of Funds'!J39</f>
        <v>0</v>
      </c>
      <c r="K402" s="1722">
        <f>'Part III-Sources of Funds'!K39</f>
        <v>0</v>
      </c>
      <c r="L402" s="1630">
        <f>'Part III-Sources of Funds'!L39</f>
        <v>0</v>
      </c>
      <c r="M402" s="1630">
        <f>'Part III-Sources of Funds'!M39</f>
        <v>0</v>
      </c>
      <c r="N402" s="1723" t="str">
        <f>'Part III-Sources of Funds'!N39</f>
        <v/>
      </c>
      <c r="O402" s="1723">
        <f>'Part III-Sources of Funds'!O39</f>
        <v>0</v>
      </c>
      <c r="P402" s="1625">
        <f>'Part III-Sources of Funds'!P39</f>
        <v>0</v>
      </c>
      <c r="Q402" s="1625">
        <f>'Part III-Sources of Funds'!Q39</f>
        <v>0</v>
      </c>
    </row>
    <row r="403" spans="1:17">
      <c r="A403" s="1625"/>
      <c r="B403" s="1625" t="s">
        <v>749</v>
      </c>
      <c r="C403" s="1704">
        <f>'Part III-Sources of Funds'!C40</f>
        <v>0</v>
      </c>
      <c r="D403" s="1704">
        <f>'Part III-Sources of Funds'!D40</f>
        <v>0</v>
      </c>
      <c r="E403" s="1704">
        <f>'Part III-Sources of Funds'!E40</f>
        <v>0</v>
      </c>
      <c r="F403" s="1704">
        <f>'Part III-Sources of Funds'!F40</f>
        <v>0</v>
      </c>
      <c r="G403" s="1704">
        <f>'Part III-Sources of Funds'!G40</f>
        <v>0</v>
      </c>
      <c r="H403" s="1704">
        <f>'Part III-Sources of Funds'!H40</f>
        <v>0</v>
      </c>
      <c r="I403" s="1661">
        <f>'Part III-Sources of Funds'!I40</f>
        <v>0</v>
      </c>
      <c r="J403" s="1625">
        <f>'Part III-Sources of Funds'!J40</f>
        <v>0</v>
      </c>
      <c r="K403" s="1722">
        <f>'Part III-Sources of Funds'!K40</f>
        <v>0</v>
      </c>
      <c r="L403" s="1630">
        <f>'Part III-Sources of Funds'!L40</f>
        <v>0</v>
      </c>
      <c r="M403" s="1630">
        <f>'Part III-Sources of Funds'!M40</f>
        <v>0</v>
      </c>
      <c r="N403" s="1723" t="str">
        <f>'Part III-Sources of Funds'!N40</f>
        <v/>
      </c>
      <c r="O403" s="1723">
        <f>'Part III-Sources of Funds'!O40</f>
        <v>0</v>
      </c>
      <c r="P403" s="1625">
        <f>'Part III-Sources of Funds'!P40</f>
        <v>0</v>
      </c>
      <c r="Q403" s="1625">
        <f>'Part III-Sources of Funds'!Q40</f>
        <v>0</v>
      </c>
    </row>
    <row r="404" spans="1:17">
      <c r="A404" s="1625"/>
      <c r="B404" s="1625" t="s">
        <v>2767</v>
      </c>
      <c r="C404" s="1625"/>
      <c r="D404" s="1625"/>
      <c r="E404" s="1704">
        <f>'Part III-Sources of Funds'!E41</f>
        <v>0</v>
      </c>
      <c r="F404" s="1704">
        <f>'Part III-Sources of Funds'!F41</f>
        <v>0</v>
      </c>
      <c r="G404" s="1704">
        <f>'Part III-Sources of Funds'!G41</f>
        <v>0</v>
      </c>
      <c r="H404" s="1704">
        <f>'Part III-Sources of Funds'!H41</f>
        <v>0</v>
      </c>
      <c r="I404" s="1661">
        <f>'Part III-Sources of Funds'!I41</f>
        <v>0</v>
      </c>
      <c r="J404" s="1625">
        <f>'Part III-Sources of Funds'!J41</f>
        <v>0</v>
      </c>
      <c r="K404" s="1722"/>
      <c r="L404" s="1630"/>
      <c r="M404" s="1630"/>
      <c r="N404" s="1723" t="str">
        <f t="shared" ref="N404" si="0">IF(OR(I404&lt;=0,I404=""),"",IF(P404="Amortizing",-PMT(K404/12,M404*12,I404,0,0)*12,""))</f>
        <v/>
      </c>
      <c r="O404" s="1723"/>
      <c r="P404" s="1625"/>
      <c r="Q404" s="1625"/>
    </row>
    <row r="405" spans="1:17">
      <c r="A405" s="1625"/>
      <c r="B405" s="1625" t="s">
        <v>230</v>
      </c>
      <c r="C405" s="1625"/>
      <c r="D405" s="1724" t="str">
        <f>'Part III-Sources of Funds'!D42</f>
        <v/>
      </c>
      <c r="E405" s="1704">
        <f>'Part III-Sources of Funds'!E42</f>
        <v>0</v>
      </c>
      <c r="F405" s="1704">
        <f>'Part III-Sources of Funds'!F42</f>
        <v>0</v>
      </c>
      <c r="G405" s="1704">
        <f>'Part III-Sources of Funds'!G42</f>
        <v>0</v>
      </c>
      <c r="H405" s="1704">
        <f>'Part III-Sources of Funds'!H42</f>
        <v>0</v>
      </c>
      <c r="I405" s="1661">
        <f>'Part III-Sources of Funds'!I42</f>
        <v>0</v>
      </c>
      <c r="J405" s="1625">
        <f>'Part III-Sources of Funds'!J42</f>
        <v>0</v>
      </c>
      <c r="K405" s="1722">
        <f>'Part III-Sources of Funds'!K42</f>
        <v>0</v>
      </c>
      <c r="L405" s="1630">
        <f>'Part III-Sources of Funds'!L42</f>
        <v>0</v>
      </c>
      <c r="M405" s="1630">
        <f>'Part III-Sources of Funds'!M42</f>
        <v>0</v>
      </c>
      <c r="N405" s="1723">
        <f>'Part III-Sources of Funds'!N42</f>
        <v>0</v>
      </c>
      <c r="O405" s="1723">
        <f>'Part III-Sources of Funds'!O42</f>
        <v>0</v>
      </c>
      <c r="P405" s="1625">
        <f>'Part III-Sources of Funds'!P42</f>
        <v>0</v>
      </c>
      <c r="Q405" s="1625">
        <f>'Part III-Sources of Funds'!Q42</f>
        <v>0</v>
      </c>
    </row>
    <row r="406" spans="1:17" ht="13.5">
      <c r="A406" s="1625"/>
      <c r="B406" s="1625"/>
      <c r="C406" s="1625"/>
      <c r="D406" s="1625"/>
      <c r="E406" s="1625"/>
      <c r="F406" s="1625"/>
      <c r="G406" s="1625"/>
      <c r="H406" s="1625"/>
      <c r="I406" s="1725"/>
      <c r="J406" s="1726"/>
      <c r="K406" s="1722"/>
      <c r="L406" s="1630"/>
      <c r="M406" s="1630"/>
      <c r="N406" s="1727"/>
      <c r="O406" s="1727"/>
      <c r="P406" s="1630"/>
      <c r="Q406" s="1630"/>
    </row>
    <row r="407" spans="1:17" ht="13.5">
      <c r="A407" s="1625"/>
      <c r="B407" s="1637" t="s">
        <v>4235</v>
      </c>
      <c r="C407" s="1625"/>
      <c r="D407" s="1637"/>
      <c r="E407" s="1637" t="s">
        <v>4129</v>
      </c>
      <c r="F407" s="1728" t="str">
        <f>'Part III-Sources of Funds'!F44</f>
        <v/>
      </c>
      <c r="G407" s="1637"/>
      <c r="H407" s="1714" t="s">
        <v>4234</v>
      </c>
      <c r="I407" s="1728" t="str">
        <f>'Part III-Sources of Funds'!I44</f>
        <v/>
      </c>
      <c r="J407" s="1637"/>
      <c r="K407" s="1722"/>
      <c r="L407" s="1630"/>
      <c r="M407" s="1630"/>
      <c r="N407" s="1727"/>
      <c r="O407" s="1727"/>
      <c r="P407" s="1630"/>
      <c r="Q407" s="1630"/>
    </row>
    <row r="408" spans="1:17" ht="13.5">
      <c r="A408" s="1625"/>
      <c r="B408" s="1637" t="s">
        <v>4758</v>
      </c>
      <c r="C408" s="1625"/>
      <c r="D408" s="1724"/>
      <c r="E408" s="1637"/>
      <c r="F408" s="1729">
        <f>'Part III-Sources of Funds'!F45</f>
        <v>0</v>
      </c>
      <c r="G408" s="1729">
        <f>'Part III-Sources of Funds'!G45</f>
        <v>0</v>
      </c>
      <c r="H408" s="1714" t="s">
        <v>4236</v>
      </c>
      <c r="I408" s="1729" t="str">
        <f>'Part III-Sources of Funds'!I45</f>
        <v/>
      </c>
      <c r="J408" s="1729">
        <f>'Part III-Sources of Funds'!J45</f>
        <v>0</v>
      </c>
      <c r="K408" s="1722"/>
      <c r="L408" s="1630"/>
      <c r="M408" s="1630"/>
      <c r="N408" s="1727"/>
      <c r="O408" s="1727"/>
      <c r="P408" s="1630"/>
      <c r="Q408" s="1630"/>
    </row>
    <row r="409" spans="1:17" ht="13.5">
      <c r="A409" s="1625"/>
      <c r="B409" s="1625"/>
      <c r="C409" s="1625"/>
      <c r="D409" s="1625"/>
      <c r="E409" s="1625"/>
      <c r="F409" s="1625"/>
      <c r="G409" s="1625"/>
      <c r="H409" s="1625"/>
      <c r="I409" s="1725"/>
      <c r="J409" s="1726"/>
      <c r="K409" s="1722"/>
      <c r="L409" s="1630"/>
      <c r="M409" s="1630"/>
      <c r="N409" s="1727"/>
      <c r="O409" s="1727"/>
      <c r="P409" s="1630"/>
      <c r="Q409" s="1630"/>
    </row>
    <row r="410" spans="1:17">
      <c r="A410" s="1625"/>
      <c r="B410" s="1625" t="s">
        <v>2231</v>
      </c>
      <c r="C410" s="1625"/>
      <c r="D410" s="1625"/>
      <c r="E410" s="1704">
        <f>'Part III-Sources of Funds'!E47</f>
        <v>0</v>
      </c>
      <c r="F410" s="1704">
        <f>'Part III-Sources of Funds'!F47</f>
        <v>0</v>
      </c>
      <c r="G410" s="1704">
        <f>'Part III-Sources of Funds'!G47</f>
        <v>0</v>
      </c>
      <c r="H410" s="1704">
        <f>'Part III-Sources of Funds'!H47</f>
        <v>0</v>
      </c>
      <c r="I410" s="1661">
        <f>'Part III-Sources of Funds'!I47</f>
        <v>0</v>
      </c>
      <c r="J410" s="1625">
        <f>'Part III-Sources of Funds'!J47</f>
        <v>0</v>
      </c>
      <c r="K410" s="1625"/>
      <c r="L410" s="1625"/>
      <c r="M410" s="1625"/>
      <c r="N410" s="1625"/>
      <c r="O410" s="1625"/>
      <c r="P410" s="1625"/>
      <c r="Q410" s="1625"/>
    </row>
    <row r="411" spans="1:17" ht="13.5">
      <c r="A411" s="1625"/>
      <c r="B411" s="1625" t="s">
        <v>809</v>
      </c>
      <c r="C411" s="1625"/>
      <c r="D411" s="1625"/>
      <c r="E411" s="1704">
        <f>'Part III-Sources of Funds'!E48</f>
        <v>0</v>
      </c>
      <c r="F411" s="1704">
        <f>'Part III-Sources of Funds'!F48</f>
        <v>0</v>
      </c>
      <c r="G411" s="1704">
        <f>'Part III-Sources of Funds'!G48</f>
        <v>0</v>
      </c>
      <c r="H411" s="1704">
        <f>'Part III-Sources of Funds'!H48</f>
        <v>0</v>
      </c>
      <c r="I411" s="1661">
        <f>'Part III-Sources of Funds'!I48</f>
        <v>0</v>
      </c>
      <c r="J411" s="1625">
        <f>'Part III-Sources of Funds'!J48</f>
        <v>0</v>
      </c>
      <c r="K411" s="1637"/>
      <c r="L411" s="1730" t="s">
        <v>522</v>
      </c>
      <c r="M411" s="1730"/>
      <c r="N411" s="1731" t="s">
        <v>523</v>
      </c>
      <c r="O411" s="1731"/>
      <c r="P411" s="1630" t="s">
        <v>521</v>
      </c>
      <c r="Q411" s="1625"/>
    </row>
    <row r="412" spans="1:17" ht="25.5">
      <c r="A412" s="1625"/>
      <c r="B412" s="1625" t="s">
        <v>810</v>
      </c>
      <c r="C412" s="1625"/>
      <c r="D412" s="1625"/>
      <c r="E412" s="1704" t="str">
        <f>'Part III-Sources of Funds'!E49</f>
        <v>Wells Fargo (proposed)</v>
      </c>
      <c r="F412" s="1704">
        <f>'Part III-Sources of Funds'!F49</f>
        <v>0</v>
      </c>
      <c r="G412" s="1704">
        <f>'Part III-Sources of Funds'!G49</f>
        <v>0</v>
      </c>
      <c r="H412" s="1704">
        <f>'Part III-Sources of Funds'!H49</f>
        <v>0</v>
      </c>
      <c r="I412" s="1661">
        <f>'Part III-Sources of Funds'!I49</f>
        <v>7431014.5</v>
      </c>
      <c r="J412" s="1625">
        <f>'Part III-Sources of Funds'!J49</f>
        <v>0</v>
      </c>
      <c r="K412" s="1637"/>
      <c r="L412" s="1732">
        <f>'Part IV-A-Uses of Funds'!$J$175*10*'Part IV-A-Uses of Funds'!$N$168</f>
        <v>7431014.5</v>
      </c>
      <c r="M412" s="1732"/>
      <c r="N412" s="1733">
        <f>I412-L412</f>
        <v>0</v>
      </c>
      <c r="O412" s="1733"/>
      <c r="P412" s="1734" t="s">
        <v>2577</v>
      </c>
      <c r="Q412" s="1625"/>
    </row>
    <row r="413" spans="1:17" ht="25.5">
      <c r="A413" s="1625"/>
      <c r="B413" s="1625" t="s">
        <v>811</v>
      </c>
      <c r="C413" s="1625"/>
      <c r="D413" s="1625"/>
      <c r="E413" s="1704" t="str">
        <f>'Part III-Sources of Funds'!E50</f>
        <v>Wells Fargo (proposed)</v>
      </c>
      <c r="F413" s="1704">
        <f>'Part III-Sources of Funds'!F50</f>
        <v>0</v>
      </c>
      <c r="G413" s="1704">
        <f>'Part III-Sources of Funds'!G50</f>
        <v>0</v>
      </c>
      <c r="H413" s="1704">
        <f>'Part III-Sources of Funds'!H50</f>
        <v>0</v>
      </c>
      <c r="I413" s="1661">
        <f>'Part III-Sources of Funds'!I50</f>
        <v>4808303.5</v>
      </c>
      <c r="J413" s="1625">
        <f>'Part III-Sources of Funds'!J50</f>
        <v>0</v>
      </c>
      <c r="K413" s="1637"/>
      <c r="L413" s="1732">
        <f>'Part IV-A-Uses of Funds'!$J$175*10*'Part IV-A-Uses of Funds'!$Q$168</f>
        <v>4808303.5</v>
      </c>
      <c r="M413" s="1732"/>
      <c r="N413" s="1733">
        <f>I413-L413</f>
        <v>0</v>
      </c>
      <c r="O413" s="1733"/>
      <c r="P413" s="1735">
        <f>I412/I422</f>
        <v>0.54482302560875839</v>
      </c>
      <c r="Q413" s="1625"/>
    </row>
    <row r="414" spans="1:17" ht="13.5">
      <c r="A414" s="1625"/>
      <c r="B414" s="1625" t="s">
        <v>1422</v>
      </c>
      <c r="C414" s="1625"/>
      <c r="D414" s="1625"/>
      <c r="E414" s="1704">
        <f>'Part III-Sources of Funds'!E51</f>
        <v>0</v>
      </c>
      <c r="F414" s="1704">
        <f>'Part III-Sources of Funds'!F51</f>
        <v>0</v>
      </c>
      <c r="G414" s="1704">
        <f>'Part III-Sources of Funds'!G51</f>
        <v>0</v>
      </c>
      <c r="H414" s="1704">
        <f>'Part III-Sources of Funds'!H51</f>
        <v>0</v>
      </c>
      <c r="I414" s="1661">
        <f>'Part III-Sources of Funds'!I51</f>
        <v>0</v>
      </c>
      <c r="J414" s="1625">
        <f>'Part III-Sources of Funds'!J51</f>
        <v>0</v>
      </c>
      <c r="K414" s="1637"/>
      <c r="L414" s="1637"/>
      <c r="M414" s="1637"/>
      <c r="N414" s="1637"/>
      <c r="O414" s="1637"/>
      <c r="P414" s="1735">
        <f>I413/I422</f>
        <v>0.35253254598213779</v>
      </c>
      <c r="Q414" s="1625"/>
    </row>
    <row r="415" spans="1:17" ht="13.5">
      <c r="A415" s="1625"/>
      <c r="B415" s="1625" t="s">
        <v>536</v>
      </c>
      <c r="C415" s="1625"/>
      <c r="D415" s="1625"/>
      <c r="E415" s="1704">
        <f>'Part III-Sources of Funds'!E52</f>
        <v>0</v>
      </c>
      <c r="F415" s="1704">
        <f>'Part III-Sources of Funds'!F52</f>
        <v>0</v>
      </c>
      <c r="G415" s="1704">
        <f>'Part III-Sources of Funds'!G52</f>
        <v>0</v>
      </c>
      <c r="H415" s="1704">
        <f>'Part III-Sources of Funds'!H52</f>
        <v>0</v>
      </c>
      <c r="I415" s="1661">
        <f>'Part III-Sources of Funds'!I52</f>
        <v>0</v>
      </c>
      <c r="J415" s="1625">
        <f>'Part III-Sources of Funds'!J52</f>
        <v>0</v>
      </c>
      <c r="K415" s="1625"/>
      <c r="L415" s="1637"/>
      <c r="M415" s="1637"/>
      <c r="N415" s="1637"/>
      <c r="O415" s="1637"/>
      <c r="P415" s="1735">
        <f>SUM(P413:P414)</f>
        <v>0.89735557159089618</v>
      </c>
      <c r="Q415" s="1625"/>
    </row>
    <row r="416" spans="1:17" ht="13.5">
      <c r="A416" s="1625"/>
      <c r="B416" s="1625" t="s">
        <v>1883</v>
      </c>
      <c r="C416" s="1625"/>
      <c r="D416" s="1625"/>
      <c r="E416" s="1704">
        <f>'Part III-Sources of Funds'!E53</f>
        <v>0</v>
      </c>
      <c r="F416" s="1704">
        <f>'Part III-Sources of Funds'!F53</f>
        <v>0</v>
      </c>
      <c r="G416" s="1704">
        <f>'Part III-Sources of Funds'!G53</f>
        <v>0</v>
      </c>
      <c r="H416" s="1704">
        <f>'Part III-Sources of Funds'!H53</f>
        <v>0</v>
      </c>
      <c r="I416" s="1661">
        <f>'Part III-Sources of Funds'!I53</f>
        <v>0</v>
      </c>
      <c r="J416" s="1625">
        <f>'Part III-Sources of Funds'!J53</f>
        <v>0</v>
      </c>
      <c r="K416" s="1637"/>
      <c r="L416" s="1637"/>
      <c r="M416" s="1637"/>
      <c r="N416" s="1704"/>
      <c r="O416" s="1704"/>
      <c r="P416" s="1704"/>
      <c r="Q416" s="1625"/>
    </row>
    <row r="417" spans="1:17" ht="13.5">
      <c r="A417" s="1625"/>
      <c r="B417" s="1625" t="s">
        <v>1884</v>
      </c>
      <c r="C417" s="1625"/>
      <c r="D417" s="1625"/>
      <c r="E417" s="1704">
        <f>'Part III-Sources of Funds'!E54</f>
        <v>0</v>
      </c>
      <c r="F417" s="1704">
        <f>'Part III-Sources of Funds'!F54</f>
        <v>0</v>
      </c>
      <c r="G417" s="1704">
        <f>'Part III-Sources of Funds'!G54</f>
        <v>0</v>
      </c>
      <c r="H417" s="1704">
        <f>'Part III-Sources of Funds'!H54</f>
        <v>0</v>
      </c>
      <c r="I417" s="1661">
        <f>'Part III-Sources of Funds'!I54</f>
        <v>0</v>
      </c>
      <c r="J417" s="1625">
        <f>'Part III-Sources of Funds'!J54</f>
        <v>0</v>
      </c>
      <c r="K417" s="1637"/>
      <c r="L417" s="1637"/>
      <c r="M417" s="1704"/>
      <c r="N417" s="1704"/>
      <c r="O417" s="1704"/>
      <c r="P417" s="1704"/>
      <c r="Q417" s="1625"/>
    </row>
    <row r="418" spans="1:17" ht="13.5">
      <c r="A418" s="1625"/>
      <c r="B418" s="1625" t="s">
        <v>749</v>
      </c>
      <c r="C418" s="1704">
        <f>'Part III-Sources of Funds'!C55</f>
        <v>0</v>
      </c>
      <c r="D418" s="1704">
        <f>'Part III-Sources of Funds'!D55</f>
        <v>0</v>
      </c>
      <c r="E418" s="1704">
        <f>'Part III-Sources of Funds'!E55</f>
        <v>0</v>
      </c>
      <c r="F418" s="1704">
        <f>'Part III-Sources of Funds'!F55</f>
        <v>0</v>
      </c>
      <c r="G418" s="1704">
        <f>'Part III-Sources of Funds'!G55</f>
        <v>0</v>
      </c>
      <c r="H418" s="1704">
        <f>'Part III-Sources of Funds'!H55</f>
        <v>0</v>
      </c>
      <c r="I418" s="1661">
        <f>'Part III-Sources of Funds'!I55</f>
        <v>0</v>
      </c>
      <c r="J418" s="1625">
        <f>'Part III-Sources of Funds'!J55</f>
        <v>0</v>
      </c>
      <c r="K418" s="1637"/>
      <c r="L418" s="1637"/>
      <c r="M418" s="1704"/>
      <c r="N418" s="1704"/>
      <c r="O418" s="1704"/>
      <c r="P418" s="1704"/>
      <c r="Q418" s="1625"/>
    </row>
    <row r="419" spans="1:17">
      <c r="A419" s="1625"/>
      <c r="B419" s="1625" t="s">
        <v>749</v>
      </c>
      <c r="C419" s="1704">
        <f>'Part III-Sources of Funds'!C56</f>
        <v>0</v>
      </c>
      <c r="D419" s="1704">
        <f>'Part III-Sources of Funds'!D56</f>
        <v>0</v>
      </c>
      <c r="E419" s="1704">
        <f>'Part III-Sources of Funds'!E56</f>
        <v>0</v>
      </c>
      <c r="F419" s="1704">
        <f>'Part III-Sources of Funds'!F56</f>
        <v>0</v>
      </c>
      <c r="G419" s="1704">
        <f>'Part III-Sources of Funds'!G56</f>
        <v>0</v>
      </c>
      <c r="H419" s="1704">
        <f>'Part III-Sources of Funds'!H56</f>
        <v>0</v>
      </c>
      <c r="I419" s="1661">
        <f>'Part III-Sources of Funds'!I56</f>
        <v>0</v>
      </c>
      <c r="J419" s="1625">
        <f>'Part III-Sources of Funds'!J56</f>
        <v>0</v>
      </c>
      <c r="K419" s="1625"/>
      <c r="L419" s="1630"/>
      <c r="M419" s="1704"/>
      <c r="N419" s="1704"/>
      <c r="O419" s="1704"/>
      <c r="P419" s="1704"/>
      <c r="Q419" s="1625"/>
    </row>
    <row r="420" spans="1:17">
      <c r="A420" s="1625"/>
      <c r="B420" s="1625" t="s">
        <v>749</v>
      </c>
      <c r="C420" s="1704">
        <f>'Part III-Sources of Funds'!C57</f>
        <v>0</v>
      </c>
      <c r="D420" s="1704">
        <f>'Part III-Sources of Funds'!D57</f>
        <v>0</v>
      </c>
      <c r="E420" s="1704">
        <f>'Part III-Sources of Funds'!E57</f>
        <v>0</v>
      </c>
      <c r="F420" s="1704">
        <f>'Part III-Sources of Funds'!F57</f>
        <v>0</v>
      </c>
      <c r="G420" s="1704">
        <f>'Part III-Sources of Funds'!G57</f>
        <v>0</v>
      </c>
      <c r="H420" s="1704">
        <f>'Part III-Sources of Funds'!H57</f>
        <v>0</v>
      </c>
      <c r="I420" s="1661">
        <f>'Part III-Sources of Funds'!I57</f>
        <v>0</v>
      </c>
      <c r="J420" s="1625">
        <f>'Part III-Sources of Funds'!J57</f>
        <v>0</v>
      </c>
      <c r="K420" s="1625"/>
      <c r="L420" s="1630"/>
      <c r="M420" s="1704"/>
      <c r="N420" s="1704"/>
      <c r="O420" s="1704"/>
      <c r="P420" s="1704"/>
      <c r="Q420" s="1625"/>
    </row>
    <row r="421" spans="1:17" ht="13.5">
      <c r="A421" s="1625"/>
      <c r="B421" s="1633" t="s">
        <v>2232</v>
      </c>
      <c r="C421" s="1625"/>
      <c r="D421" s="1625"/>
      <c r="E421" s="1625"/>
      <c r="F421" s="1625"/>
      <c r="G421" s="1625"/>
      <c r="H421" s="1637"/>
      <c r="I421" s="1719">
        <f>SUM(I400:J405)+SUM(I410:J420)</f>
        <v>13639318</v>
      </c>
      <c r="J421" s="1719"/>
      <c r="K421" s="1625"/>
      <c r="L421" s="1630"/>
      <c r="M421" s="1704"/>
      <c r="N421" s="1704"/>
      <c r="O421" s="1704"/>
      <c r="P421" s="1704"/>
      <c r="Q421" s="1625"/>
    </row>
    <row r="422" spans="1:17" ht="13.5">
      <c r="A422" s="1625"/>
      <c r="B422" s="1633" t="s">
        <v>2233</v>
      </c>
      <c r="C422" s="1625"/>
      <c r="D422" s="1625"/>
      <c r="E422" s="1625"/>
      <c r="F422" s="1625"/>
      <c r="G422" s="1625"/>
      <c r="H422" s="1637"/>
      <c r="I422" s="1719">
        <f>'Part IV-A-Uses of Funds'!$G$132</f>
        <v>13639318</v>
      </c>
      <c r="J422" s="1719"/>
      <c r="K422" s="1625"/>
      <c r="L422" s="1630"/>
      <c r="M422" s="1704"/>
      <c r="N422" s="1704"/>
      <c r="O422" s="1704"/>
      <c r="P422" s="1704"/>
      <c r="Q422" s="1625"/>
    </row>
    <row r="423" spans="1:17" ht="13.5">
      <c r="A423" s="1625"/>
      <c r="B423" s="1633" t="s">
        <v>1537</v>
      </c>
      <c r="C423" s="1625"/>
      <c r="D423" s="1625"/>
      <c r="E423" s="1625"/>
      <c r="F423" s="1625"/>
      <c r="G423" s="1625"/>
      <c r="H423" s="1637"/>
      <c r="I423" s="1720">
        <f>I421-I422</f>
        <v>0</v>
      </c>
      <c r="J423" s="1720"/>
      <c r="K423" s="1625"/>
      <c r="L423" s="1630"/>
      <c r="M423" s="1704"/>
      <c r="N423" s="1704"/>
      <c r="O423" s="1704"/>
      <c r="P423" s="1704"/>
      <c r="Q423" s="1625"/>
    </row>
    <row r="424" spans="1:17">
      <c r="A424" s="1625" t="s">
        <v>3490</v>
      </c>
      <c r="B424" s="1633"/>
      <c r="C424" s="1625"/>
      <c r="D424" s="1625"/>
      <c r="E424" s="1625"/>
      <c r="F424" s="1625"/>
      <c r="G424" s="1625"/>
      <c r="H424" s="1726"/>
      <c r="I424" s="1726"/>
      <c r="J424" s="1632"/>
      <c r="K424" s="1625"/>
      <c r="L424" s="1630"/>
      <c r="M424" s="1704"/>
      <c r="N424" s="1704"/>
      <c r="O424" s="1704"/>
      <c r="P424" s="1704"/>
      <c r="Q424" s="1625"/>
    </row>
    <row r="425" spans="1:17">
      <c r="A425" s="1632"/>
      <c r="B425" s="1632"/>
      <c r="C425" s="1632"/>
      <c r="D425" s="1632"/>
      <c r="E425" s="1632"/>
      <c r="F425" s="1632"/>
      <c r="G425" s="1632"/>
      <c r="H425" s="1632"/>
      <c r="I425" s="1632"/>
      <c r="J425" s="1632"/>
      <c r="K425" s="1632"/>
      <c r="L425" s="1632"/>
      <c r="M425" s="1632"/>
      <c r="N425" s="1632"/>
      <c r="O425" s="1632"/>
      <c r="P425" s="1632"/>
      <c r="Q425" s="1632"/>
    </row>
    <row r="426" spans="1:17" ht="13.5">
      <c r="A426" s="1622" t="s">
        <v>1805</v>
      </c>
      <c r="B426" s="1622" t="s">
        <v>577</v>
      </c>
      <c r="C426" s="1632"/>
      <c r="D426" s="1632"/>
      <c r="E426" s="1632"/>
      <c r="F426" s="1632"/>
      <c r="G426" s="1632"/>
      <c r="H426" s="1632"/>
      <c r="I426" s="1632"/>
      <c r="J426" s="1632"/>
      <c r="K426" s="1721"/>
      <c r="L426" s="1721"/>
      <c r="M426" s="1622" t="s">
        <v>1805</v>
      </c>
      <c r="N426" s="1622" t="s">
        <v>80</v>
      </c>
      <c r="O426" s="1632"/>
      <c r="P426" s="1632"/>
      <c r="Q426" s="1632"/>
    </row>
    <row r="427" spans="1:17" ht="12.75" customHeight="1">
      <c r="A427" s="1697" t="str">
        <f>'Part III-Sources of Funds'!A64</f>
        <v>Equity pricing is based on the preliminary commitment from Wells Fargo for federal and state tax credit equity and believed to be reflective of current market pricing.
There are no construction loan fees for the Construction/Perm loan from Macon-Bibb County. All commitments for the construction loan from Wells Fargo and constuction/perm. loan from Macon-Bibb County are documented at Tab 01-05. 
The 3.84% interest rate for Wells Fargo is based on May 2018  LIBOR rate plus 1.95% spread.</v>
      </c>
      <c r="B427" s="1697">
        <f>'Part III-Sources of Funds'!B64</f>
        <v>0</v>
      </c>
      <c r="C427" s="1697">
        <f>'Part III-Sources of Funds'!C64</f>
        <v>0</v>
      </c>
      <c r="D427" s="1697">
        <f>'Part III-Sources of Funds'!D64</f>
        <v>0</v>
      </c>
      <c r="E427" s="1697">
        <f>'Part III-Sources of Funds'!E64</f>
        <v>0</v>
      </c>
      <c r="F427" s="1697">
        <f>'Part III-Sources of Funds'!F64</f>
        <v>0</v>
      </c>
      <c r="G427" s="1697">
        <f>'Part III-Sources of Funds'!G64</f>
        <v>0</v>
      </c>
      <c r="H427" s="1697">
        <f>'Part III-Sources of Funds'!H64</f>
        <v>0</v>
      </c>
      <c r="I427" s="1697">
        <f>'Part III-Sources of Funds'!I64</f>
        <v>0</v>
      </c>
      <c r="J427" s="1697">
        <f>'Part III-Sources of Funds'!J64</f>
        <v>0</v>
      </c>
      <c r="K427" s="1697">
        <f>'Part III-Sources of Funds'!K64</f>
        <v>0</v>
      </c>
      <c r="L427" s="1697">
        <f>'Part III-Sources of Funds'!L64</f>
        <v>0</v>
      </c>
      <c r="M427" s="1697">
        <f>'Part III-Sources of Funds'!M64</f>
        <v>0</v>
      </c>
      <c r="N427" s="1697">
        <f>'Part III-Sources of Funds'!N64</f>
        <v>0</v>
      </c>
      <c r="O427" s="1697">
        <f>'Part III-Sources of Funds'!O64</f>
        <v>0</v>
      </c>
      <c r="P427" s="1697">
        <f>'Part III-Sources of Funds'!P64</f>
        <v>0</v>
      </c>
      <c r="Q427" s="1697">
        <f>'Part III-Sources of Funds'!Q64</f>
        <v>0</v>
      </c>
    </row>
    <row r="437" spans="1:24">
      <c r="A437" s="1622" t="str">
        <f>CONCATENATE("PART FOUR -  USES OF FUNDS","  -  ",'Part I-Project Information'!$O$6," ",'Part I-Project Information'!$F$34,", ",'Part I-Project Information'!F474,", ",'Part I-Project Information'!J475," County")</f>
        <v>PART FOUR -  USES OF FUNDS  -  2018-013 Tindall Fields III, ,  County</v>
      </c>
      <c r="B437" s="1622"/>
      <c r="C437" s="1622"/>
      <c r="D437" s="1622"/>
      <c r="E437" s="1622"/>
      <c r="F437" s="1622"/>
      <c r="G437" s="1622"/>
      <c r="H437" s="1622"/>
      <c r="I437" s="1622"/>
      <c r="J437" s="1622"/>
      <c r="K437" s="1622"/>
      <c r="L437" s="1622"/>
      <c r="M437" s="1622"/>
      <c r="N437" s="1622"/>
      <c r="O437" s="1622"/>
      <c r="P437" s="1622"/>
      <c r="Q437" s="1622"/>
      <c r="R437" s="1622"/>
      <c r="S437" s="1622"/>
      <c r="T437" s="1622"/>
      <c r="U437" s="1625"/>
      <c r="V437" s="1625"/>
      <c r="W437" s="1622" t="str">
        <f>A437</f>
        <v>PART FOUR -  USES OF FUNDS  -  2018-013 Tindall Fields III, ,  County</v>
      </c>
      <c r="X437" s="1622"/>
    </row>
    <row r="438" spans="1:24">
      <c r="A438" s="1632"/>
      <c r="B438" s="1632"/>
      <c r="C438" s="1632"/>
      <c r="D438" s="1632"/>
      <c r="E438" s="1632"/>
      <c r="F438" s="1632"/>
      <c r="G438" s="1632"/>
      <c r="H438" s="1632"/>
      <c r="I438" s="1632"/>
      <c r="J438" s="1632"/>
      <c r="K438" s="1632"/>
      <c r="L438" s="1632"/>
      <c r="M438" s="1632"/>
      <c r="N438" s="1632"/>
      <c r="O438" s="1632"/>
      <c r="P438" s="1632"/>
      <c r="Q438" s="1632"/>
      <c r="R438" s="1632"/>
      <c r="S438" s="1632"/>
      <c r="T438" s="1632"/>
      <c r="U438" s="1632"/>
      <c r="V438" s="1632"/>
      <c r="W438" s="1632"/>
      <c r="X438" s="1632"/>
    </row>
    <row r="439" spans="1:24">
      <c r="A439" s="1622"/>
      <c r="B439" s="1622"/>
      <c r="C439" s="1622"/>
      <c r="D439" s="1622"/>
      <c r="E439" s="1622"/>
      <c r="F439" s="1622"/>
      <c r="G439" s="1622"/>
      <c r="H439" s="1622"/>
      <c r="I439" s="1622"/>
      <c r="J439" s="1622"/>
      <c r="K439" s="1622"/>
      <c r="L439" s="1622"/>
      <c r="M439" s="1622"/>
      <c r="N439" s="1622"/>
      <c r="O439" s="1622"/>
      <c r="P439" s="1622"/>
      <c r="Q439" s="1622"/>
      <c r="R439" s="1622"/>
      <c r="S439" s="1622"/>
      <c r="T439" s="1622"/>
      <c r="U439" s="1625"/>
      <c r="V439" s="1625"/>
      <c r="W439" s="1625"/>
      <c r="X439" s="1625"/>
    </row>
    <row r="440" spans="1:24" ht="16.5">
      <c r="A440" s="1623"/>
      <c r="B440" s="1623"/>
      <c r="C440" s="1623"/>
      <c r="D440" s="1736"/>
      <c r="E440" s="1736"/>
      <c r="F440" s="1736"/>
      <c r="G440" s="1736"/>
      <c r="H440" s="1736"/>
      <c r="I440" s="1622"/>
      <c r="J440" s="1623"/>
      <c r="K440" s="1623"/>
      <c r="L440" s="1623"/>
      <c r="M440" s="1623"/>
      <c r="N440" s="1623"/>
      <c r="O440" s="1623"/>
      <c r="P440" s="1623"/>
      <c r="Q440" s="1623"/>
      <c r="R440" s="1623"/>
      <c r="S440" s="1623"/>
      <c r="T440" s="1623"/>
      <c r="U440" s="1625"/>
      <c r="V440" s="1625"/>
      <c r="W440" s="1625"/>
      <c r="X440" s="1625"/>
    </row>
    <row r="441" spans="1:24" ht="17.25" customHeight="1">
      <c r="A441" s="1736" t="s">
        <v>622</v>
      </c>
      <c r="B441" s="1736" t="s">
        <v>909</v>
      </c>
      <c r="C441" s="1625"/>
      <c r="D441" s="1625"/>
      <c r="E441" s="1625"/>
      <c r="F441" s="1625"/>
      <c r="G441" s="1625"/>
      <c r="H441" s="1736"/>
      <c r="I441" s="1736"/>
      <c r="J441" s="1624" t="s">
        <v>273</v>
      </c>
      <c r="K441" s="1624"/>
      <c r="L441" s="1640"/>
      <c r="M441" s="1737" t="s">
        <v>494</v>
      </c>
      <c r="N441" s="1737"/>
      <c r="O441" s="1625"/>
      <c r="P441" s="1624" t="s">
        <v>274</v>
      </c>
      <c r="Q441" s="1624"/>
      <c r="R441" s="1625"/>
      <c r="S441" s="1624" t="s">
        <v>275</v>
      </c>
      <c r="T441" s="1624"/>
      <c r="U441" s="1625"/>
      <c r="V441" s="1738" t="str">
        <f>B441</f>
        <v>DEVELOPMENT BUDGET</v>
      </c>
      <c r="W441" s="1625"/>
      <c r="X441" s="1625"/>
    </row>
    <row r="442" spans="1:24">
      <c r="A442" s="1625"/>
      <c r="B442" s="1625"/>
      <c r="C442" s="1625"/>
      <c r="D442" s="1625"/>
      <c r="E442" s="1625"/>
      <c r="F442" s="1625"/>
      <c r="G442" s="1622" t="s">
        <v>102</v>
      </c>
      <c r="H442" s="1622"/>
      <c r="I442" s="1625"/>
      <c r="J442" s="1624"/>
      <c r="K442" s="1624"/>
      <c r="L442" s="1640"/>
      <c r="M442" s="1737"/>
      <c r="N442" s="1737"/>
      <c r="O442" s="1625"/>
      <c r="P442" s="1624"/>
      <c r="Q442" s="1624"/>
      <c r="R442" s="1625"/>
      <c r="S442" s="1624"/>
      <c r="T442" s="1624"/>
      <c r="U442" s="1625"/>
      <c r="V442" s="1675" t="s">
        <v>2700</v>
      </c>
      <c r="W442" s="1625"/>
      <c r="X442" s="1675"/>
    </row>
    <row r="443" spans="1:24">
      <c r="A443" s="1625"/>
      <c r="B443" s="1622" t="s">
        <v>103</v>
      </c>
      <c r="C443" s="1625"/>
      <c r="D443" s="1625"/>
      <c r="E443" s="1625"/>
      <c r="F443" s="1625"/>
      <c r="G443" s="1625"/>
      <c r="H443" s="1625"/>
      <c r="I443" s="1625"/>
      <c r="J443" s="1625"/>
      <c r="K443" s="1625"/>
      <c r="L443" s="1625"/>
      <c r="M443" s="1625"/>
      <c r="N443" s="1625"/>
      <c r="O443" s="1623" t="str">
        <f>B443</f>
        <v>PRE-DEVELOPMENT COSTS</v>
      </c>
      <c r="P443" s="1625"/>
      <c r="Q443" s="1625"/>
      <c r="R443" s="1625"/>
      <c r="S443" s="1625"/>
      <c r="T443" s="1625"/>
      <c r="U443" s="1625"/>
      <c r="V443" s="1625"/>
      <c r="W443" s="1625" t="str">
        <f>B443</f>
        <v>PRE-DEVELOPMENT COSTS</v>
      </c>
      <c r="X443" s="1625"/>
    </row>
    <row r="444" spans="1:24">
      <c r="A444" s="1625"/>
      <c r="B444" s="1625" t="s">
        <v>2016</v>
      </c>
      <c r="C444" s="1625"/>
      <c r="D444" s="1625"/>
      <c r="E444" s="1625"/>
      <c r="F444" s="1625"/>
      <c r="G444" s="1640">
        <f>'Part IV-A-Uses of Funds'!G8</f>
        <v>10395</v>
      </c>
      <c r="H444" s="1640">
        <f>'Part IV-A-Uses of Funds'!H8</f>
        <v>0</v>
      </c>
      <c r="I444" s="1625"/>
      <c r="J444" s="1640">
        <f>'Part IV-A-Uses of Funds'!J8</f>
        <v>10395</v>
      </c>
      <c r="K444" s="1640">
        <f>'Part IV-A-Uses of Funds'!K8</f>
        <v>0</v>
      </c>
      <c r="L444" s="1655"/>
      <c r="M444" s="1640">
        <f>'Part IV-A-Uses of Funds'!M8</f>
        <v>0</v>
      </c>
      <c r="N444" s="1640">
        <f>'Part IV-A-Uses of Funds'!N8</f>
        <v>0</v>
      </c>
      <c r="O444" s="1625"/>
      <c r="P444" s="1640">
        <f>'Part IV-A-Uses of Funds'!P8</f>
        <v>0</v>
      </c>
      <c r="Q444" s="1640">
        <f>'Part IV-A-Uses of Funds'!Q8</f>
        <v>0</v>
      </c>
      <c r="R444" s="1625"/>
      <c r="S444" s="1640">
        <f>'Part IV-A-Uses of Funds'!S8</f>
        <v>0</v>
      </c>
      <c r="T444" s="1640">
        <f>'Part IV-A-Uses of Funds'!T8</f>
        <v>0</v>
      </c>
      <c r="U444" s="1625"/>
      <c r="V444" s="1739"/>
      <c r="W444" s="1329">
        <f>'Part IV-A-Uses of Funds'!W8</f>
        <v>0</v>
      </c>
      <c r="X444" s="1329">
        <f>'Part IV-A-Uses of Funds'!X8</f>
        <v>0</v>
      </c>
    </row>
    <row r="445" spans="1:24">
      <c r="A445" s="1625"/>
      <c r="B445" s="1625" t="s">
        <v>461</v>
      </c>
      <c r="C445" s="1625"/>
      <c r="D445" s="1625"/>
      <c r="E445" s="1625"/>
      <c r="F445" s="1625"/>
      <c r="G445" s="1640">
        <f>'Part IV-A-Uses of Funds'!G9</f>
        <v>10250</v>
      </c>
      <c r="H445" s="1640">
        <f>'Part IV-A-Uses of Funds'!H9</f>
        <v>0</v>
      </c>
      <c r="I445" s="1625"/>
      <c r="J445" s="1640">
        <f>'Part IV-A-Uses of Funds'!J9</f>
        <v>10250</v>
      </c>
      <c r="K445" s="1640">
        <f>'Part IV-A-Uses of Funds'!K9</f>
        <v>0</v>
      </c>
      <c r="L445" s="1655"/>
      <c r="M445" s="1640">
        <f>'Part IV-A-Uses of Funds'!M9</f>
        <v>0</v>
      </c>
      <c r="N445" s="1640">
        <f>'Part IV-A-Uses of Funds'!N9</f>
        <v>0</v>
      </c>
      <c r="O445" s="1625"/>
      <c r="P445" s="1640">
        <f>'Part IV-A-Uses of Funds'!P9</f>
        <v>0</v>
      </c>
      <c r="Q445" s="1640">
        <f>'Part IV-A-Uses of Funds'!Q9</f>
        <v>0</v>
      </c>
      <c r="R445" s="1625"/>
      <c r="S445" s="1640">
        <f>'Part IV-A-Uses of Funds'!S9</f>
        <v>0</v>
      </c>
      <c r="T445" s="1640">
        <f>'Part IV-A-Uses of Funds'!T9</f>
        <v>0</v>
      </c>
      <c r="U445" s="1625"/>
      <c r="V445" s="1739"/>
      <c r="W445" s="1329">
        <f>'Part IV-A-Uses of Funds'!W9</f>
        <v>0</v>
      </c>
      <c r="X445" s="1329">
        <f>'Part IV-A-Uses of Funds'!X9</f>
        <v>0</v>
      </c>
    </row>
    <row r="446" spans="1:24">
      <c r="A446" s="1625"/>
      <c r="B446" s="1625" t="s">
        <v>491</v>
      </c>
      <c r="C446" s="1625"/>
      <c r="D446" s="1625"/>
      <c r="E446" s="1625"/>
      <c r="F446" s="1625"/>
      <c r="G446" s="1640">
        <f>'Part IV-A-Uses of Funds'!G10</f>
        <v>10000</v>
      </c>
      <c r="H446" s="1640">
        <f>'Part IV-A-Uses of Funds'!H10</f>
        <v>0</v>
      </c>
      <c r="I446" s="1625"/>
      <c r="J446" s="1640">
        <f>'Part IV-A-Uses of Funds'!J10</f>
        <v>10000</v>
      </c>
      <c r="K446" s="1640">
        <f>'Part IV-A-Uses of Funds'!K10</f>
        <v>0</v>
      </c>
      <c r="L446" s="1655"/>
      <c r="M446" s="1640">
        <f>'Part IV-A-Uses of Funds'!M10</f>
        <v>0</v>
      </c>
      <c r="N446" s="1640">
        <f>'Part IV-A-Uses of Funds'!N10</f>
        <v>0</v>
      </c>
      <c r="O446" s="1625"/>
      <c r="P446" s="1640">
        <f>'Part IV-A-Uses of Funds'!P10</f>
        <v>0</v>
      </c>
      <c r="Q446" s="1640">
        <f>'Part IV-A-Uses of Funds'!Q10</f>
        <v>0</v>
      </c>
      <c r="R446" s="1625"/>
      <c r="S446" s="1640">
        <f>'Part IV-A-Uses of Funds'!S10</f>
        <v>0</v>
      </c>
      <c r="T446" s="1640">
        <f>'Part IV-A-Uses of Funds'!T10</f>
        <v>0</v>
      </c>
      <c r="U446" s="1625"/>
      <c r="V446" s="1739"/>
      <c r="W446" s="1329">
        <f>'Part IV-A-Uses of Funds'!W10</f>
        <v>0</v>
      </c>
      <c r="X446" s="1329">
        <f>'Part IV-A-Uses of Funds'!X10</f>
        <v>0</v>
      </c>
    </row>
    <row r="447" spans="1:24">
      <c r="A447" s="1625"/>
      <c r="B447" s="1625" t="s">
        <v>492</v>
      </c>
      <c r="C447" s="1625"/>
      <c r="D447" s="1625"/>
      <c r="E447" s="1625"/>
      <c r="F447" s="1625"/>
      <c r="G447" s="1640">
        <f>'Part IV-A-Uses of Funds'!G11</f>
        <v>5000</v>
      </c>
      <c r="H447" s="1640">
        <f>'Part IV-A-Uses of Funds'!H11</f>
        <v>0</v>
      </c>
      <c r="I447" s="1625"/>
      <c r="J447" s="1640">
        <f>'Part IV-A-Uses of Funds'!J11</f>
        <v>5000</v>
      </c>
      <c r="K447" s="1640">
        <f>'Part IV-A-Uses of Funds'!K11</f>
        <v>0</v>
      </c>
      <c r="L447" s="1655"/>
      <c r="M447" s="1640">
        <f>'Part IV-A-Uses of Funds'!M11</f>
        <v>0</v>
      </c>
      <c r="N447" s="1640">
        <f>'Part IV-A-Uses of Funds'!N11</f>
        <v>0</v>
      </c>
      <c r="O447" s="1625"/>
      <c r="P447" s="1640">
        <f>'Part IV-A-Uses of Funds'!P11</f>
        <v>0</v>
      </c>
      <c r="Q447" s="1640">
        <f>'Part IV-A-Uses of Funds'!Q11</f>
        <v>0</v>
      </c>
      <c r="R447" s="1625"/>
      <c r="S447" s="1640">
        <f>'Part IV-A-Uses of Funds'!S11</f>
        <v>0</v>
      </c>
      <c r="T447" s="1640">
        <f>'Part IV-A-Uses of Funds'!T11</f>
        <v>0</v>
      </c>
      <c r="U447" s="1625"/>
      <c r="V447" s="1739"/>
      <c r="W447" s="1329">
        <f>'Part IV-A-Uses of Funds'!W11</f>
        <v>0</v>
      </c>
      <c r="X447" s="1329">
        <f>'Part IV-A-Uses of Funds'!X11</f>
        <v>0</v>
      </c>
    </row>
    <row r="448" spans="1:24">
      <c r="A448" s="1625"/>
      <c r="B448" s="1625" t="s">
        <v>2516</v>
      </c>
      <c r="C448" s="1625"/>
      <c r="D448" s="1625"/>
      <c r="E448" s="1625"/>
      <c r="F448" s="1625"/>
      <c r="G448" s="1640">
        <f>'Part IV-A-Uses of Funds'!G12</f>
        <v>8000</v>
      </c>
      <c r="H448" s="1640">
        <f>'Part IV-A-Uses of Funds'!H12</f>
        <v>0</v>
      </c>
      <c r="I448" s="1625"/>
      <c r="J448" s="1640">
        <f>'Part IV-A-Uses of Funds'!J12</f>
        <v>8000</v>
      </c>
      <c r="K448" s="1640">
        <f>'Part IV-A-Uses of Funds'!K12</f>
        <v>0</v>
      </c>
      <c r="L448" s="1655"/>
      <c r="M448" s="1640">
        <f>'Part IV-A-Uses of Funds'!M12</f>
        <v>0</v>
      </c>
      <c r="N448" s="1640">
        <f>'Part IV-A-Uses of Funds'!N12</f>
        <v>0</v>
      </c>
      <c r="O448" s="1625"/>
      <c r="P448" s="1640">
        <f>'Part IV-A-Uses of Funds'!P12</f>
        <v>0</v>
      </c>
      <c r="Q448" s="1640">
        <f>'Part IV-A-Uses of Funds'!Q12</f>
        <v>0</v>
      </c>
      <c r="R448" s="1625"/>
      <c r="S448" s="1640">
        <f>'Part IV-A-Uses of Funds'!S12</f>
        <v>0</v>
      </c>
      <c r="T448" s="1640">
        <f>'Part IV-A-Uses of Funds'!T12</f>
        <v>0</v>
      </c>
      <c r="U448" s="1625"/>
      <c r="V448" s="1739"/>
      <c r="W448" s="1329">
        <f>'Part IV-A-Uses of Funds'!W12</f>
        <v>0</v>
      </c>
      <c r="X448" s="1329">
        <f>'Part IV-A-Uses of Funds'!X12</f>
        <v>0</v>
      </c>
    </row>
    <row r="449" spans="1:24">
      <c r="A449" s="1625"/>
      <c r="B449" s="1625" t="s">
        <v>192</v>
      </c>
      <c r="C449" s="1625"/>
      <c r="D449" s="1625"/>
      <c r="E449" s="1625"/>
      <c r="F449" s="1625"/>
      <c r="G449" s="1640">
        <f>'Part IV-A-Uses of Funds'!G13</f>
        <v>5000</v>
      </c>
      <c r="H449" s="1640">
        <f>'Part IV-A-Uses of Funds'!H13</f>
        <v>0</v>
      </c>
      <c r="I449" s="1625"/>
      <c r="J449" s="1640">
        <f>'Part IV-A-Uses of Funds'!J13</f>
        <v>5000</v>
      </c>
      <c r="K449" s="1640">
        <f>'Part IV-A-Uses of Funds'!K13</f>
        <v>0</v>
      </c>
      <c r="L449" s="1655"/>
      <c r="M449" s="1640">
        <f>'Part IV-A-Uses of Funds'!M13</f>
        <v>0</v>
      </c>
      <c r="N449" s="1640">
        <f>'Part IV-A-Uses of Funds'!N13</f>
        <v>0</v>
      </c>
      <c r="O449" s="1625"/>
      <c r="P449" s="1640">
        <f>'Part IV-A-Uses of Funds'!P13</f>
        <v>0</v>
      </c>
      <c r="Q449" s="1640">
        <f>'Part IV-A-Uses of Funds'!Q13</f>
        <v>0</v>
      </c>
      <c r="R449" s="1625"/>
      <c r="S449" s="1640">
        <f>'Part IV-A-Uses of Funds'!S13</f>
        <v>0</v>
      </c>
      <c r="T449" s="1640">
        <f>'Part IV-A-Uses of Funds'!T13</f>
        <v>0</v>
      </c>
      <c r="U449" s="1625"/>
      <c r="V449" s="1739"/>
      <c r="W449" s="1329">
        <f>'Part IV-A-Uses of Funds'!W13</f>
        <v>0</v>
      </c>
      <c r="X449" s="1329">
        <f>'Part IV-A-Uses of Funds'!X13</f>
        <v>0</v>
      </c>
    </row>
    <row r="450" spans="1:24" ht="15.75" customHeight="1">
      <c r="A450" s="1740" t="str">
        <f>IF(AND(G450&gt;0,OR(C450="",C450="&lt;Enter detailed description here; use Comments section if needed&gt;")),"X","")</f>
        <v/>
      </c>
      <c r="B450" s="1625" t="s">
        <v>749</v>
      </c>
      <c r="C450" s="1643" t="str">
        <f>'Part IV-A-Uses of Funds'!C14</f>
        <v>&lt;&lt; Enter description here; provide detail &amp; justification in tab Part IV-b &gt;&gt;</v>
      </c>
      <c r="D450" s="1643">
        <f>'Part IV-A-Uses of Funds'!D14</f>
        <v>0</v>
      </c>
      <c r="E450" s="1643">
        <f>'Part IV-A-Uses of Funds'!E14</f>
        <v>0</v>
      </c>
      <c r="F450" s="1643">
        <f>'Part IV-A-Uses of Funds'!F14</f>
        <v>0</v>
      </c>
      <c r="G450" s="1640">
        <f>'Part IV-A-Uses of Funds'!G14</f>
        <v>0</v>
      </c>
      <c r="H450" s="1640">
        <f>'Part IV-A-Uses of Funds'!H14</f>
        <v>0</v>
      </c>
      <c r="I450" s="1625"/>
      <c r="J450" s="1640">
        <f>'Part IV-A-Uses of Funds'!J14</f>
        <v>0</v>
      </c>
      <c r="K450" s="1640">
        <f>'Part IV-A-Uses of Funds'!K14</f>
        <v>0</v>
      </c>
      <c r="L450" s="1655"/>
      <c r="M450" s="1640">
        <f>'Part IV-A-Uses of Funds'!M14</f>
        <v>0</v>
      </c>
      <c r="N450" s="1640">
        <f>'Part IV-A-Uses of Funds'!N14</f>
        <v>0</v>
      </c>
      <c r="O450" s="1625"/>
      <c r="P450" s="1640">
        <f>'Part IV-A-Uses of Funds'!P14</f>
        <v>0</v>
      </c>
      <c r="Q450" s="1640">
        <f>'Part IV-A-Uses of Funds'!Q14</f>
        <v>0</v>
      </c>
      <c r="R450" s="1625"/>
      <c r="S450" s="1640">
        <f>'Part IV-A-Uses of Funds'!S14</f>
        <v>0</v>
      </c>
      <c r="T450" s="1640">
        <f>'Part IV-A-Uses of Funds'!T14</f>
        <v>0</v>
      </c>
      <c r="U450" s="1626" t="str">
        <f>IF(AND(G450&gt;0,OR(C450="",C450="&lt;Enter detailed description here; use Comments section if needed&gt;")),"NO DESCRIPTION PROVIDED - please enter detailed description in Other box at left; use Comments section below if needed.","")</f>
        <v/>
      </c>
      <c r="V450" s="1741"/>
      <c r="W450" s="1329">
        <f>'Part IV-A-Uses of Funds'!W14</f>
        <v>0</v>
      </c>
      <c r="X450" s="1329">
        <f>'Part IV-A-Uses of Funds'!X14</f>
        <v>0</v>
      </c>
    </row>
    <row r="451" spans="1:24" ht="15.75" customHeight="1">
      <c r="A451" s="1740" t="str">
        <f>IF(AND(G451&gt;0,OR(C451="",C451="&lt;Enter detailed description here; use Comments section if needed&gt;")),"X","")</f>
        <v/>
      </c>
      <c r="B451" s="1625" t="s">
        <v>749</v>
      </c>
      <c r="C451" s="1643" t="str">
        <f>'Part IV-A-Uses of Funds'!C15</f>
        <v>&lt;&lt; Enter description here; provide detail &amp; justification in tab Part IV-b &gt;&gt;</v>
      </c>
      <c r="D451" s="1643">
        <f>'Part IV-A-Uses of Funds'!D15</f>
        <v>0</v>
      </c>
      <c r="E451" s="1643">
        <f>'Part IV-A-Uses of Funds'!E15</f>
        <v>0</v>
      </c>
      <c r="F451" s="1643">
        <f>'Part IV-A-Uses of Funds'!F15</f>
        <v>0</v>
      </c>
      <c r="G451" s="1640">
        <f>'Part IV-A-Uses of Funds'!G15</f>
        <v>0</v>
      </c>
      <c r="H451" s="1640">
        <f>'Part IV-A-Uses of Funds'!H15</f>
        <v>0</v>
      </c>
      <c r="I451" s="1625"/>
      <c r="J451" s="1640">
        <f>'Part IV-A-Uses of Funds'!J15</f>
        <v>0</v>
      </c>
      <c r="K451" s="1640">
        <f>'Part IV-A-Uses of Funds'!K15</f>
        <v>0</v>
      </c>
      <c r="L451" s="1655"/>
      <c r="M451" s="1640">
        <f>'Part IV-A-Uses of Funds'!M15</f>
        <v>0</v>
      </c>
      <c r="N451" s="1640">
        <f>'Part IV-A-Uses of Funds'!N15</f>
        <v>0</v>
      </c>
      <c r="O451" s="1625"/>
      <c r="P451" s="1640">
        <f>'Part IV-A-Uses of Funds'!P15</f>
        <v>0</v>
      </c>
      <c r="Q451" s="1640">
        <f>'Part IV-A-Uses of Funds'!Q15</f>
        <v>0</v>
      </c>
      <c r="R451" s="1625"/>
      <c r="S451" s="1640">
        <f>'Part IV-A-Uses of Funds'!S15</f>
        <v>0</v>
      </c>
      <c r="T451" s="1640">
        <f>'Part IV-A-Uses of Funds'!T15</f>
        <v>0</v>
      </c>
      <c r="U451" s="1626" t="str">
        <f>IF(AND(G451&gt;0,OR(C451="",C451="&lt;Enter detailed description here; use Comments section if needed&gt;")),"NO DESCRIPTION PROVIDED - please enter detailed description in Other box at left; use Comments section below if needed.","")</f>
        <v/>
      </c>
      <c r="V451" s="1741"/>
      <c r="W451" s="1329">
        <f>'Part IV-A-Uses of Funds'!W15</f>
        <v>0</v>
      </c>
      <c r="X451" s="1329">
        <f>'Part IV-A-Uses of Funds'!X15</f>
        <v>0</v>
      </c>
    </row>
    <row r="452" spans="1:24" ht="16.5" customHeight="1">
      <c r="A452" s="1740" t="str">
        <f>IF(AND(G452&gt;0,OR(C452="",C452="&lt;Enter detailed description here; use Comments section if needed&gt;")),"X","")</f>
        <v/>
      </c>
      <c r="B452" s="1625" t="s">
        <v>749</v>
      </c>
      <c r="C452" s="1643" t="str">
        <f>'Part IV-A-Uses of Funds'!C16</f>
        <v>&lt;&lt; Enter description here; provide detail &amp; justification in tab Part IV-b &gt;&gt;</v>
      </c>
      <c r="D452" s="1643">
        <f>'Part IV-A-Uses of Funds'!D16</f>
        <v>0</v>
      </c>
      <c r="E452" s="1643">
        <f>'Part IV-A-Uses of Funds'!E16</f>
        <v>0</v>
      </c>
      <c r="F452" s="1643">
        <f>'Part IV-A-Uses of Funds'!F16</f>
        <v>0</v>
      </c>
      <c r="G452" s="1640">
        <f>'Part IV-A-Uses of Funds'!G16</f>
        <v>0</v>
      </c>
      <c r="H452" s="1640">
        <f>'Part IV-A-Uses of Funds'!H16</f>
        <v>0</v>
      </c>
      <c r="I452" s="1625"/>
      <c r="J452" s="1640">
        <f>'Part IV-A-Uses of Funds'!J16</f>
        <v>0</v>
      </c>
      <c r="K452" s="1640">
        <f>'Part IV-A-Uses of Funds'!K16</f>
        <v>0</v>
      </c>
      <c r="L452" s="1655"/>
      <c r="M452" s="1640">
        <f>'Part IV-A-Uses of Funds'!M16</f>
        <v>0</v>
      </c>
      <c r="N452" s="1640">
        <f>'Part IV-A-Uses of Funds'!N16</f>
        <v>0</v>
      </c>
      <c r="O452" s="1625"/>
      <c r="P452" s="1640">
        <f>'Part IV-A-Uses of Funds'!P16</f>
        <v>0</v>
      </c>
      <c r="Q452" s="1640">
        <f>'Part IV-A-Uses of Funds'!Q16</f>
        <v>0</v>
      </c>
      <c r="R452" s="1625"/>
      <c r="S452" s="1640">
        <f>'Part IV-A-Uses of Funds'!S16</f>
        <v>0</v>
      </c>
      <c r="T452" s="1640">
        <f>'Part IV-A-Uses of Funds'!T16</f>
        <v>0</v>
      </c>
      <c r="U452" s="1626" t="str">
        <f>IF(AND(G452&gt;0,OR(C452="",C452="&lt;Enter detailed description here; use Comments section if needed&gt;")),"NO DESCRIPTION PROVIDED - please enter detailed description in Other box at left; use Comments section below if needed.","")</f>
        <v/>
      </c>
      <c r="V452" s="1741"/>
      <c r="W452" s="1329">
        <f>'Part IV-A-Uses of Funds'!W16</f>
        <v>0</v>
      </c>
      <c r="X452" s="1329">
        <f>'Part IV-A-Uses of Funds'!X16</f>
        <v>0</v>
      </c>
    </row>
    <row r="453" spans="1:24">
      <c r="A453" s="1625"/>
      <c r="B453" s="1625"/>
      <c r="C453" s="1625"/>
      <c r="D453" s="1625"/>
      <c r="E453" s="1625"/>
      <c r="F453" s="1742" t="s">
        <v>193</v>
      </c>
      <c r="G453" s="1640">
        <f>SUM(G444:H452)</f>
        <v>48645</v>
      </c>
      <c r="H453" s="1640"/>
      <c r="I453" s="1625"/>
      <c r="J453" s="1640">
        <f>SUM(J444:K452)</f>
        <v>48645</v>
      </c>
      <c r="K453" s="1656"/>
      <c r="L453" s="1655"/>
      <c r="M453" s="1640">
        <f>SUM(M444:N452)</f>
        <v>0</v>
      </c>
      <c r="N453" s="1640"/>
      <c r="O453" s="1625"/>
      <c r="P453" s="1640">
        <f>SUM(P444:Q452)</f>
        <v>0</v>
      </c>
      <c r="Q453" s="1640"/>
      <c r="R453" s="1625"/>
      <c r="S453" s="1640">
        <f>SUM(S444:T452)</f>
        <v>0</v>
      </c>
      <c r="T453" s="1640"/>
      <c r="U453" s="1625"/>
      <c r="V453" s="1739">
        <f>SUM(V444:V452)</f>
        <v>0</v>
      </c>
      <c r="W453" s="1329"/>
      <c r="X453" s="1329"/>
    </row>
    <row r="454" spans="1:24">
      <c r="A454" s="1625"/>
      <c r="B454" s="1622" t="s">
        <v>2213</v>
      </c>
      <c r="C454" s="1625"/>
      <c r="D454" s="1625"/>
      <c r="E454" s="1625"/>
      <c r="F454" s="1625"/>
      <c r="G454" s="1625"/>
      <c r="H454" s="1625"/>
      <c r="I454" s="1625"/>
      <c r="J454" s="1640"/>
      <c r="K454" s="1640"/>
      <c r="L454" s="1625"/>
      <c r="M454" s="1640"/>
      <c r="N454" s="1640"/>
      <c r="O454" s="1743" t="str">
        <f>B454</f>
        <v>ACQUISITION</v>
      </c>
      <c r="P454" s="1640"/>
      <c r="Q454" s="1640"/>
      <c r="R454" s="1625"/>
      <c r="S454" s="1640"/>
      <c r="T454" s="1640"/>
      <c r="U454" s="1625"/>
      <c r="V454" s="1739"/>
      <c r="W454" s="1625" t="str">
        <f>B454</f>
        <v>ACQUISITION</v>
      </c>
      <c r="X454" s="1625"/>
    </row>
    <row r="455" spans="1:24">
      <c r="A455" s="1625"/>
      <c r="B455" s="1625" t="s">
        <v>2214</v>
      </c>
      <c r="C455" s="1625"/>
      <c r="D455" s="1625"/>
      <c r="E455" s="1625"/>
      <c r="F455" s="1625"/>
      <c r="G455" s="1640">
        <f>'Part IV-A-Uses of Funds'!G19</f>
        <v>0</v>
      </c>
      <c r="H455" s="1640">
        <f>'Part IV-A-Uses of Funds'!H19</f>
        <v>0</v>
      </c>
      <c r="I455" s="1625"/>
      <c r="J455" s="1655"/>
      <c r="K455" s="1640"/>
      <c r="L455" s="1655"/>
      <c r="M455" s="1655"/>
      <c r="N455" s="1640"/>
      <c r="O455" s="1625"/>
      <c r="P455" s="1655"/>
      <c r="Q455" s="1640"/>
      <c r="R455" s="1625"/>
      <c r="S455" s="1640">
        <f>'Part IV-A-Uses of Funds'!S19</f>
        <v>0</v>
      </c>
      <c r="T455" s="1640">
        <f>'Part IV-A-Uses of Funds'!T19</f>
        <v>0</v>
      </c>
      <c r="U455" s="1625"/>
      <c r="V455" s="1739"/>
      <c r="W455" s="1329">
        <f>'Part IV-A-Uses of Funds'!W19</f>
        <v>0</v>
      </c>
      <c r="X455" s="1329">
        <f>'Part IV-A-Uses of Funds'!X19</f>
        <v>0</v>
      </c>
    </row>
    <row r="456" spans="1:24">
      <c r="A456" s="1625"/>
      <c r="B456" s="1625" t="s">
        <v>1129</v>
      </c>
      <c r="C456" s="1625"/>
      <c r="D456" s="1625"/>
      <c r="E456" s="1625"/>
      <c r="F456" s="1625"/>
      <c r="G456" s="1640">
        <f>'Part IV-A-Uses of Funds'!G20</f>
        <v>0</v>
      </c>
      <c r="H456" s="1640">
        <f>'Part IV-A-Uses of Funds'!H20</f>
        <v>0</v>
      </c>
      <c r="I456" s="1625"/>
      <c r="J456" s="1655"/>
      <c r="K456" s="1640"/>
      <c r="L456" s="1655"/>
      <c r="M456" s="1655"/>
      <c r="N456" s="1640"/>
      <c r="O456" s="1625"/>
      <c r="P456" s="1655"/>
      <c r="Q456" s="1640"/>
      <c r="R456" s="1625"/>
      <c r="S456" s="1640">
        <f>'Part IV-A-Uses of Funds'!S20</f>
        <v>0</v>
      </c>
      <c r="T456" s="1640">
        <f>'Part IV-A-Uses of Funds'!T20</f>
        <v>0</v>
      </c>
      <c r="U456" s="1625"/>
      <c r="V456" s="1739"/>
      <c r="W456" s="1329">
        <f>'Part IV-A-Uses of Funds'!W20</f>
        <v>0</v>
      </c>
      <c r="X456" s="1329">
        <f>'Part IV-A-Uses of Funds'!X20</f>
        <v>0</v>
      </c>
    </row>
    <row r="457" spans="1:24">
      <c r="A457" s="1625"/>
      <c r="B457" s="1625" t="s">
        <v>462</v>
      </c>
      <c r="C457" s="1625"/>
      <c r="D457" s="1625"/>
      <c r="E457" s="1625"/>
      <c r="F457" s="1625"/>
      <c r="G457" s="1640">
        <f>'Part IV-A-Uses of Funds'!G21</f>
        <v>0</v>
      </c>
      <c r="H457" s="1640">
        <f>'Part IV-A-Uses of Funds'!H21</f>
        <v>0</v>
      </c>
      <c r="I457" s="1625"/>
      <c r="J457" s="1655"/>
      <c r="K457" s="1640"/>
      <c r="L457" s="1655"/>
      <c r="M457" s="1640">
        <f>'Part IV-A-Uses of Funds'!M21</f>
        <v>0</v>
      </c>
      <c r="N457" s="1640">
        <f>'Part IV-A-Uses of Funds'!N21</f>
        <v>0</v>
      </c>
      <c r="O457" s="1625"/>
      <c r="P457" s="1655"/>
      <c r="Q457" s="1640"/>
      <c r="R457" s="1625"/>
      <c r="S457" s="1640">
        <f>'Part IV-A-Uses of Funds'!S21</f>
        <v>0</v>
      </c>
      <c r="T457" s="1640">
        <f>'Part IV-A-Uses of Funds'!T21</f>
        <v>0</v>
      </c>
      <c r="U457" s="1625"/>
      <c r="V457" s="1739"/>
      <c r="W457" s="1329">
        <f>'Part IV-A-Uses of Funds'!W21</f>
        <v>0</v>
      </c>
      <c r="X457" s="1329">
        <f>'Part IV-A-Uses of Funds'!X21</f>
        <v>0</v>
      </c>
    </row>
    <row r="458" spans="1:24">
      <c r="A458" s="1625"/>
      <c r="B458" s="1625" t="s">
        <v>432</v>
      </c>
      <c r="C458" s="1625"/>
      <c r="D458" s="1625"/>
      <c r="E458" s="1625"/>
      <c r="F458" s="1625"/>
      <c r="G458" s="1640">
        <f>'Part IV-A-Uses of Funds'!G22</f>
        <v>0</v>
      </c>
      <c r="H458" s="1640">
        <f>'Part IV-A-Uses of Funds'!H22</f>
        <v>0</v>
      </c>
      <c r="I458" s="1625"/>
      <c r="J458" s="1655"/>
      <c r="K458" s="1640"/>
      <c r="L458" s="1655"/>
      <c r="M458" s="1640">
        <f>'Part IV-A-Uses of Funds'!M22</f>
        <v>0</v>
      </c>
      <c r="N458" s="1640">
        <f>'Part IV-A-Uses of Funds'!N22</f>
        <v>0</v>
      </c>
      <c r="O458" s="1625"/>
      <c r="P458" s="1655"/>
      <c r="Q458" s="1640"/>
      <c r="R458" s="1625"/>
      <c r="S458" s="1640">
        <f>'Part IV-A-Uses of Funds'!S22</f>
        <v>0</v>
      </c>
      <c r="T458" s="1640">
        <f>'Part IV-A-Uses of Funds'!T22</f>
        <v>0</v>
      </c>
      <c r="U458" s="1625"/>
      <c r="V458" s="1739"/>
      <c r="W458" s="1329">
        <f>'Part IV-A-Uses of Funds'!W22</f>
        <v>0</v>
      </c>
      <c r="X458" s="1329">
        <f>'Part IV-A-Uses of Funds'!X22</f>
        <v>0</v>
      </c>
    </row>
    <row r="459" spans="1:24">
      <c r="A459" s="1625"/>
      <c r="B459" s="1625"/>
      <c r="C459" s="1625"/>
      <c r="D459" s="1625"/>
      <c r="E459" s="1625"/>
      <c r="F459" s="1742" t="s">
        <v>193</v>
      </c>
      <c r="G459" s="1640">
        <f>SUM(G455:H458)</f>
        <v>0</v>
      </c>
      <c r="H459" s="1640"/>
      <c r="I459" s="1625"/>
      <c r="J459" s="1655"/>
      <c r="K459" s="1640"/>
      <c r="L459" s="1655"/>
      <c r="M459" s="1640">
        <f>SUM(M457:N458)</f>
        <v>0</v>
      </c>
      <c r="N459" s="1640"/>
      <c r="O459" s="1625"/>
      <c r="P459" s="1655"/>
      <c r="Q459" s="1640"/>
      <c r="R459" s="1625"/>
      <c r="S459" s="1640">
        <f>SUM(S455:T458)</f>
        <v>0</v>
      </c>
      <c r="T459" s="1640"/>
      <c r="U459" s="1625"/>
      <c r="V459" s="1739">
        <f>SUM(V455:V458)</f>
        <v>0</v>
      </c>
      <c r="W459" s="1329"/>
      <c r="X459" s="1329"/>
    </row>
    <row r="460" spans="1:24">
      <c r="A460" s="1625"/>
      <c r="B460" s="1622" t="s">
        <v>1130</v>
      </c>
      <c r="C460" s="1625"/>
      <c r="D460" s="1625"/>
      <c r="E460" s="1625"/>
      <c r="F460" s="1625"/>
      <c r="G460" s="1625"/>
      <c r="H460" s="1625"/>
      <c r="I460" s="1625"/>
      <c r="J460" s="1655"/>
      <c r="K460" s="1640"/>
      <c r="L460" s="1625"/>
      <c r="M460" s="1655"/>
      <c r="N460" s="1640"/>
      <c r="O460" s="1743" t="str">
        <f>B460</f>
        <v>LAND IMPROVEMENTS</v>
      </c>
      <c r="P460" s="1655"/>
      <c r="Q460" s="1640"/>
      <c r="R460" s="1625"/>
      <c r="S460" s="1655"/>
      <c r="T460" s="1640"/>
      <c r="U460" s="1625"/>
      <c r="V460" s="1739"/>
      <c r="W460" s="1625" t="str">
        <f>B460</f>
        <v>LAND IMPROVEMENTS</v>
      </c>
      <c r="X460" s="1625"/>
    </row>
    <row r="461" spans="1:24">
      <c r="A461" s="1625"/>
      <c r="B461" s="1625" t="s">
        <v>1131</v>
      </c>
      <c r="C461" s="1625"/>
      <c r="D461" s="1625"/>
      <c r="E461" s="1689" t="s">
        <v>3754</v>
      </c>
      <c r="F461" s="1691">
        <f>IF('Part I-Project Information'!$O$37="","",G461/'Part I-Project Information'!$O$37)</f>
        <v>130975.7694826457</v>
      </c>
      <c r="G461" s="1640">
        <f>'Part IV-A-Uses of Funds'!G25</f>
        <v>600000</v>
      </c>
      <c r="H461" s="1640">
        <f>'Part IV-A-Uses of Funds'!H25</f>
        <v>0</v>
      </c>
      <c r="I461" s="1625"/>
      <c r="J461" s="1640">
        <f>'Part IV-A-Uses of Funds'!J25</f>
        <v>550000</v>
      </c>
      <c r="K461" s="1640">
        <f>'Part IV-A-Uses of Funds'!K25</f>
        <v>0</v>
      </c>
      <c r="L461" s="1655"/>
      <c r="M461" s="1640">
        <f>'Part IV-A-Uses of Funds'!M25</f>
        <v>0</v>
      </c>
      <c r="N461" s="1640">
        <f>'Part IV-A-Uses of Funds'!N25</f>
        <v>0</v>
      </c>
      <c r="O461" s="1625"/>
      <c r="P461" s="1640">
        <f>'Part IV-A-Uses of Funds'!P25</f>
        <v>0</v>
      </c>
      <c r="Q461" s="1640">
        <f>'Part IV-A-Uses of Funds'!Q25</f>
        <v>0</v>
      </c>
      <c r="R461" s="1625"/>
      <c r="S461" s="1640">
        <f>'Part IV-A-Uses of Funds'!S25</f>
        <v>50000</v>
      </c>
      <c r="T461" s="1640">
        <f>'Part IV-A-Uses of Funds'!T25</f>
        <v>0</v>
      </c>
      <c r="U461" s="1625"/>
      <c r="V461" s="1739"/>
      <c r="W461" s="1329">
        <f>'Part IV-A-Uses of Funds'!W25</f>
        <v>0</v>
      </c>
      <c r="X461" s="1329">
        <f>'Part IV-A-Uses of Funds'!X25</f>
        <v>0</v>
      </c>
    </row>
    <row r="462" spans="1:24">
      <c r="A462" s="1625"/>
      <c r="B462" s="1625" t="s">
        <v>1132</v>
      </c>
      <c r="C462" s="1625"/>
      <c r="D462" s="1625"/>
      <c r="E462" s="1625"/>
      <c r="F462" s="1625"/>
      <c r="G462" s="1640">
        <f>'Part IV-A-Uses of Funds'!G26</f>
        <v>0</v>
      </c>
      <c r="H462" s="1640">
        <f>'Part IV-A-Uses of Funds'!H26</f>
        <v>0</v>
      </c>
      <c r="I462" s="1625"/>
      <c r="J462" s="1640">
        <f>'Part IV-A-Uses of Funds'!J26</f>
        <v>0</v>
      </c>
      <c r="K462" s="1640">
        <f>'Part IV-A-Uses of Funds'!K26</f>
        <v>0</v>
      </c>
      <c r="L462" s="1744"/>
      <c r="M462" s="1640"/>
      <c r="N462" s="1640"/>
      <c r="O462" s="1625"/>
      <c r="P462" s="1640"/>
      <c r="Q462" s="1640"/>
      <c r="R462" s="1625"/>
      <c r="S462" s="1640">
        <f>'Part IV-A-Uses of Funds'!S26</f>
        <v>0</v>
      </c>
      <c r="T462" s="1640">
        <f>'Part IV-A-Uses of Funds'!T26</f>
        <v>0</v>
      </c>
      <c r="U462" s="1625"/>
      <c r="V462" s="1739"/>
      <c r="W462" s="1329">
        <f>'Part IV-A-Uses of Funds'!W26</f>
        <v>0</v>
      </c>
      <c r="X462" s="1329">
        <f>'Part IV-A-Uses of Funds'!X26</f>
        <v>0</v>
      </c>
    </row>
    <row r="463" spans="1:24">
      <c r="A463" s="1625"/>
      <c r="B463" s="1625"/>
      <c r="C463" s="1625"/>
      <c r="D463" s="1625"/>
      <c r="E463" s="1625"/>
      <c r="F463" s="1742" t="s">
        <v>193</v>
      </c>
      <c r="G463" s="1640">
        <f>SUM(G461:H462)</f>
        <v>600000</v>
      </c>
      <c r="H463" s="1640"/>
      <c r="I463" s="1625"/>
      <c r="J463" s="1640">
        <f>SUM(J461:K462)</f>
        <v>550000</v>
      </c>
      <c r="K463" s="1640"/>
      <c r="L463" s="1655"/>
      <c r="M463" s="1640">
        <f>M461</f>
        <v>0</v>
      </c>
      <c r="N463" s="1640"/>
      <c r="O463" s="1625"/>
      <c r="P463" s="1640">
        <f>P461</f>
        <v>0</v>
      </c>
      <c r="Q463" s="1640"/>
      <c r="R463" s="1625"/>
      <c r="S463" s="1640">
        <f>SUM(S461:T462)</f>
        <v>50000</v>
      </c>
      <c r="T463" s="1640"/>
      <c r="U463" s="1625"/>
      <c r="V463" s="1739">
        <f>SUM(V461:V462)</f>
        <v>0</v>
      </c>
      <c r="W463" s="1329"/>
      <c r="X463" s="1329"/>
    </row>
    <row r="464" spans="1:24">
      <c r="A464" s="1625"/>
      <c r="B464" s="1622" t="s">
        <v>1133</v>
      </c>
      <c r="C464" s="1625"/>
      <c r="D464" s="1625"/>
      <c r="E464" s="1625"/>
      <c r="F464" s="1625"/>
      <c r="G464" s="1625"/>
      <c r="H464" s="1625"/>
      <c r="I464" s="1625"/>
      <c r="J464" s="1655"/>
      <c r="K464" s="1640"/>
      <c r="L464" s="1625"/>
      <c r="M464" s="1655"/>
      <c r="N464" s="1640"/>
      <c r="O464" s="1743" t="str">
        <f>B464</f>
        <v>STRUCTURES</v>
      </c>
      <c r="P464" s="1655"/>
      <c r="Q464" s="1640"/>
      <c r="R464" s="1625"/>
      <c r="S464" s="1655"/>
      <c r="T464" s="1640"/>
      <c r="U464" s="1625"/>
      <c r="V464" s="1739"/>
      <c r="W464" s="1625" t="str">
        <f>B464</f>
        <v>STRUCTURES</v>
      </c>
      <c r="X464" s="1625"/>
    </row>
    <row r="465" spans="1:24">
      <c r="A465" s="1625"/>
      <c r="B465" s="1625" t="s">
        <v>1134</v>
      </c>
      <c r="C465" s="1625"/>
      <c r="D465" s="1625"/>
      <c r="E465" s="1625"/>
      <c r="F465" s="1625"/>
      <c r="G465" s="1640">
        <f>'Part IV-A-Uses of Funds'!G29</f>
        <v>8250000</v>
      </c>
      <c r="H465" s="1640">
        <f>'Part IV-A-Uses of Funds'!H29</f>
        <v>0</v>
      </c>
      <c r="I465" s="1625"/>
      <c r="J465" s="1640">
        <f>'Part IV-A-Uses of Funds'!J29</f>
        <v>8250000</v>
      </c>
      <c r="K465" s="1640">
        <f>'Part IV-A-Uses of Funds'!K29</f>
        <v>0</v>
      </c>
      <c r="L465" s="1655"/>
      <c r="M465" s="1640">
        <f>'Part IV-A-Uses of Funds'!M29</f>
        <v>0</v>
      </c>
      <c r="N465" s="1640">
        <f>'Part IV-A-Uses of Funds'!N29</f>
        <v>0</v>
      </c>
      <c r="O465" s="1625"/>
      <c r="P465" s="1640">
        <f>'Part IV-A-Uses of Funds'!P29</f>
        <v>0</v>
      </c>
      <c r="Q465" s="1640">
        <f>'Part IV-A-Uses of Funds'!Q29</f>
        <v>0</v>
      </c>
      <c r="R465" s="1625"/>
      <c r="S465" s="1640">
        <f>'Part IV-A-Uses of Funds'!S29</f>
        <v>0</v>
      </c>
      <c r="T465" s="1640">
        <f>'Part IV-A-Uses of Funds'!T29</f>
        <v>0</v>
      </c>
      <c r="U465" s="1625"/>
      <c r="V465" s="1739"/>
      <c r="W465" s="1329">
        <f>'Part IV-A-Uses of Funds'!W29</f>
        <v>0</v>
      </c>
      <c r="X465" s="1329">
        <f>'Part IV-A-Uses of Funds'!X29</f>
        <v>0</v>
      </c>
    </row>
    <row r="466" spans="1:24">
      <c r="A466" s="1625"/>
      <c r="B466" s="1625" t="s">
        <v>1135</v>
      </c>
      <c r="C466" s="1625"/>
      <c r="D466" s="1625"/>
      <c r="E466" s="1625"/>
      <c r="F466" s="1625"/>
      <c r="G466" s="1640">
        <f>'Part IV-A-Uses of Funds'!G30</f>
        <v>0</v>
      </c>
      <c r="H466" s="1640">
        <f>'Part IV-A-Uses of Funds'!H30</f>
        <v>0</v>
      </c>
      <c r="I466" s="1625"/>
      <c r="J466" s="1640">
        <f>'Part IV-A-Uses of Funds'!J30</f>
        <v>0</v>
      </c>
      <c r="K466" s="1640">
        <f>'Part IV-A-Uses of Funds'!K30</f>
        <v>0</v>
      </c>
      <c r="L466" s="1655"/>
      <c r="M466" s="1640">
        <f>'Part IV-A-Uses of Funds'!M30</f>
        <v>0</v>
      </c>
      <c r="N466" s="1640">
        <f>'Part IV-A-Uses of Funds'!N30</f>
        <v>0</v>
      </c>
      <c r="O466" s="1625"/>
      <c r="P466" s="1640">
        <f>'Part IV-A-Uses of Funds'!P30</f>
        <v>0</v>
      </c>
      <c r="Q466" s="1640">
        <f>'Part IV-A-Uses of Funds'!Q30</f>
        <v>0</v>
      </c>
      <c r="R466" s="1625"/>
      <c r="S466" s="1640">
        <f>'Part IV-A-Uses of Funds'!S30</f>
        <v>0</v>
      </c>
      <c r="T466" s="1640">
        <f>'Part IV-A-Uses of Funds'!T30</f>
        <v>0</v>
      </c>
      <c r="U466" s="1625"/>
      <c r="V466" s="1739"/>
      <c r="W466" s="1329">
        <f>'Part IV-A-Uses of Funds'!W30</f>
        <v>0</v>
      </c>
      <c r="X466" s="1329">
        <f>'Part IV-A-Uses of Funds'!X30</f>
        <v>0</v>
      </c>
    </row>
    <row r="467" spans="1:24">
      <c r="A467" s="1625"/>
      <c r="B467" s="1625" t="s">
        <v>2798</v>
      </c>
      <c r="C467" s="1625"/>
      <c r="D467" s="1625"/>
      <c r="E467" s="1625"/>
      <c r="F467" s="1625"/>
      <c r="G467" s="1640">
        <f>'Part IV-A-Uses of Funds'!G31</f>
        <v>0</v>
      </c>
      <c r="H467" s="1640">
        <f>'Part IV-A-Uses of Funds'!H31</f>
        <v>0</v>
      </c>
      <c r="I467" s="1625"/>
      <c r="J467" s="1640">
        <f>'Part IV-A-Uses of Funds'!J31</f>
        <v>0</v>
      </c>
      <c r="K467" s="1640">
        <f>'Part IV-A-Uses of Funds'!K31</f>
        <v>0</v>
      </c>
      <c r="L467" s="1655"/>
      <c r="M467" s="1640">
        <f>'Part IV-A-Uses of Funds'!M31</f>
        <v>0</v>
      </c>
      <c r="N467" s="1640">
        <f>'Part IV-A-Uses of Funds'!N31</f>
        <v>0</v>
      </c>
      <c r="O467" s="1625"/>
      <c r="P467" s="1640">
        <f>'Part IV-A-Uses of Funds'!P31</f>
        <v>0</v>
      </c>
      <c r="Q467" s="1640">
        <f>'Part IV-A-Uses of Funds'!Q31</f>
        <v>0</v>
      </c>
      <c r="R467" s="1625"/>
      <c r="S467" s="1640">
        <f>'Part IV-A-Uses of Funds'!S31</f>
        <v>0</v>
      </c>
      <c r="T467" s="1640">
        <f>'Part IV-A-Uses of Funds'!T31</f>
        <v>0</v>
      </c>
      <c r="U467" s="1625"/>
      <c r="V467" s="1739"/>
      <c r="W467" s="1329">
        <f>'Part IV-A-Uses of Funds'!W31</f>
        <v>0</v>
      </c>
      <c r="X467" s="1329">
        <f>'Part IV-A-Uses of Funds'!X31</f>
        <v>0</v>
      </c>
    </row>
    <row r="468" spans="1:24">
      <c r="A468" s="1632"/>
      <c r="B468" s="1625" t="s">
        <v>2797</v>
      </c>
      <c r="C468" s="1632"/>
      <c r="D468" s="1632"/>
      <c r="E468" s="1632"/>
      <c r="F468" s="1632"/>
      <c r="G468" s="1640">
        <f>'Part IV-A-Uses of Funds'!G32</f>
        <v>0</v>
      </c>
      <c r="H468" s="1640">
        <f>'Part IV-A-Uses of Funds'!H32</f>
        <v>0</v>
      </c>
      <c r="I468" s="1625"/>
      <c r="J468" s="1640">
        <f>'Part IV-A-Uses of Funds'!J32</f>
        <v>0</v>
      </c>
      <c r="K468" s="1640">
        <f>'Part IV-A-Uses of Funds'!K32</f>
        <v>0</v>
      </c>
      <c r="L468" s="1655"/>
      <c r="M468" s="1640">
        <f>'Part IV-A-Uses of Funds'!M32</f>
        <v>0</v>
      </c>
      <c r="N468" s="1640">
        <f>'Part IV-A-Uses of Funds'!N32</f>
        <v>0</v>
      </c>
      <c r="O468" s="1625"/>
      <c r="P468" s="1640">
        <f>'Part IV-A-Uses of Funds'!P32</f>
        <v>0</v>
      </c>
      <c r="Q468" s="1640">
        <f>'Part IV-A-Uses of Funds'!Q32</f>
        <v>0</v>
      </c>
      <c r="R468" s="1625"/>
      <c r="S468" s="1640">
        <f>'Part IV-A-Uses of Funds'!S32</f>
        <v>0</v>
      </c>
      <c r="T468" s="1640">
        <f>'Part IV-A-Uses of Funds'!T32</f>
        <v>0</v>
      </c>
      <c r="U468" s="1632"/>
      <c r="V468" s="1739"/>
      <c r="W468" s="1329">
        <f>'Part IV-A-Uses of Funds'!W32</f>
        <v>0</v>
      </c>
      <c r="X468" s="1329">
        <f>'Part IV-A-Uses of Funds'!X32</f>
        <v>0</v>
      </c>
    </row>
    <row r="469" spans="1:24">
      <c r="A469" s="1625"/>
      <c r="B469" s="1625"/>
      <c r="C469" s="1745"/>
      <c r="D469" s="1745"/>
      <c r="E469" s="1746"/>
      <c r="F469" s="1742" t="s">
        <v>193</v>
      </c>
      <c r="G469" s="1640">
        <f>SUM(G465:H468)</f>
        <v>8250000</v>
      </c>
      <c r="H469" s="1640"/>
      <c r="I469" s="1625"/>
      <c r="J469" s="1640">
        <f>SUM(J465:K468)</f>
        <v>8250000</v>
      </c>
      <c r="K469" s="1640"/>
      <c r="L469" s="1655"/>
      <c r="M469" s="1640">
        <f>SUM(M465:N468)</f>
        <v>0</v>
      </c>
      <c r="N469" s="1640"/>
      <c r="O469" s="1625"/>
      <c r="P469" s="1640">
        <f>SUM(P465:Q468)</f>
        <v>0</v>
      </c>
      <c r="Q469" s="1640"/>
      <c r="R469" s="1625"/>
      <c r="S469" s="1640">
        <f>SUM(S465:T468)</f>
        <v>0</v>
      </c>
      <c r="T469" s="1640"/>
      <c r="U469" s="1625"/>
      <c r="V469" s="1739">
        <f>SUM(V465:V468)</f>
        <v>0</v>
      </c>
      <c r="W469" s="1329"/>
      <c r="X469" s="1329"/>
    </row>
    <row r="470" spans="1:24" ht="13.5">
      <c r="A470" s="1625"/>
      <c r="B470" s="1622" t="s">
        <v>2359</v>
      </c>
      <c r="C470" s="1625"/>
      <c r="D470" s="1695" t="s">
        <v>3758</v>
      </c>
      <c r="E470" s="1695"/>
      <c r="F470" s="1747" t="e">
        <f>SUM(F471:F473)</f>
        <v>#VALUE!</v>
      </c>
      <c r="G470" s="1748" t="str">
        <f>IF(G471&gt;E471,"Proposed Builder Profit exceeds DCA Maximum!!!",IF(G472&gt;E472,"Proposed Builder Overhead exceeds DCA Maximum!!!",IF(G473&gt;E473,"Proposed General Requirements exceeds DCA Maximum!!!",IF(G474&gt;E474,"Proposed Contractor Services amount exceeds DCA Maximum!!!",""))))</f>
        <v/>
      </c>
      <c r="H470" s="1632"/>
      <c r="I470" s="1632"/>
      <c r="J470" s="1655"/>
      <c r="K470" s="1640"/>
      <c r="L470" s="1625"/>
      <c r="M470" s="1655"/>
      <c r="N470" s="1640"/>
      <c r="O470" s="1743" t="str">
        <f>B470</f>
        <v>CONTRACTOR SERVICES</v>
      </c>
      <c r="P470" s="1655"/>
      <c r="Q470" s="1640"/>
      <c r="R470" s="1625"/>
      <c r="S470" s="1655"/>
      <c r="T470" s="1640"/>
      <c r="U470" s="1625"/>
      <c r="V470" s="1739"/>
      <c r="W470" s="1625" t="str">
        <f>B470</f>
        <v>CONTRACTOR SERVICES</v>
      </c>
      <c r="X470" s="1625"/>
    </row>
    <row r="471" spans="1:24" ht="13.5">
      <c r="A471" s="1625"/>
      <c r="B471" s="1625" t="s">
        <v>2360</v>
      </c>
      <c r="C471" s="1625"/>
      <c r="D471" s="1749">
        <f>'DCA Underwriting Assumptions'!$R$74</f>
        <v>0.06</v>
      </c>
      <c r="E471" s="1750">
        <f>D471*(G463+G469)</f>
        <v>531000</v>
      </c>
      <c r="F471" s="1749" t="e">
        <f>IF(($G$27+$G$33)=0,0,G471/($G$27+$G$33))</f>
        <v>#VALUE!</v>
      </c>
      <c r="G471" s="1640">
        <f>'Part IV-A-Uses of Funds'!G35</f>
        <v>531000</v>
      </c>
      <c r="H471" s="1640">
        <f>'Part IV-A-Uses of Funds'!H35</f>
        <v>0</v>
      </c>
      <c r="I471" s="1632"/>
      <c r="J471" s="1640">
        <f>'Part IV-A-Uses of Funds'!J35</f>
        <v>531000</v>
      </c>
      <c r="K471" s="1640">
        <f>'Part IV-A-Uses of Funds'!K35</f>
        <v>0</v>
      </c>
      <c r="L471" s="1655"/>
      <c r="M471" s="1640">
        <f>'Part IV-A-Uses of Funds'!M35</f>
        <v>0</v>
      </c>
      <c r="N471" s="1640">
        <f>'Part IV-A-Uses of Funds'!N35</f>
        <v>0</v>
      </c>
      <c r="O471" s="1625"/>
      <c r="P471" s="1640">
        <f>'Part IV-A-Uses of Funds'!P35</f>
        <v>0</v>
      </c>
      <c r="Q471" s="1640">
        <f>'Part IV-A-Uses of Funds'!Q35</f>
        <v>0</v>
      </c>
      <c r="R471" s="1625"/>
      <c r="S471" s="1640">
        <f>'Part IV-A-Uses of Funds'!S35</f>
        <v>0</v>
      </c>
      <c r="T471" s="1640">
        <f>'Part IV-A-Uses of Funds'!T35</f>
        <v>0</v>
      </c>
      <c r="U471" s="1625"/>
      <c r="V471" s="1739"/>
      <c r="W471" s="1329">
        <f>'Part IV-A-Uses of Funds'!W35</f>
        <v>0</v>
      </c>
      <c r="X471" s="1329">
        <f>'Part IV-A-Uses of Funds'!X35</f>
        <v>0</v>
      </c>
    </row>
    <row r="472" spans="1:24" ht="13.5">
      <c r="A472" s="1625"/>
      <c r="B472" s="1625" t="s">
        <v>2754</v>
      </c>
      <c r="C472" s="1625"/>
      <c r="D472" s="1749">
        <f>'DCA Underwriting Assumptions'!$R$75</f>
        <v>0.02</v>
      </c>
      <c r="E472" s="1750">
        <f>D472*(G463+G469)</f>
        <v>177000</v>
      </c>
      <c r="F472" s="1749" t="e">
        <f>IF(($G$27+$G$33)=0,0,G472/($G$27+$G$33))</f>
        <v>#VALUE!</v>
      </c>
      <c r="G472" s="1640">
        <f>'Part IV-A-Uses of Funds'!G36</f>
        <v>177000</v>
      </c>
      <c r="H472" s="1640">
        <f>'Part IV-A-Uses of Funds'!H36</f>
        <v>0</v>
      </c>
      <c r="I472" s="1632"/>
      <c r="J472" s="1640">
        <f>'Part IV-A-Uses of Funds'!J36</f>
        <v>177000</v>
      </c>
      <c r="K472" s="1640">
        <f>'Part IV-A-Uses of Funds'!K36</f>
        <v>0</v>
      </c>
      <c r="L472" s="1655"/>
      <c r="M472" s="1640">
        <f>'Part IV-A-Uses of Funds'!M36</f>
        <v>0</v>
      </c>
      <c r="N472" s="1640">
        <f>'Part IV-A-Uses of Funds'!N36</f>
        <v>0</v>
      </c>
      <c r="O472" s="1625"/>
      <c r="P472" s="1640">
        <f>'Part IV-A-Uses of Funds'!P36</f>
        <v>0</v>
      </c>
      <c r="Q472" s="1640">
        <f>'Part IV-A-Uses of Funds'!Q36</f>
        <v>0</v>
      </c>
      <c r="R472" s="1625"/>
      <c r="S472" s="1640">
        <f>'Part IV-A-Uses of Funds'!S36</f>
        <v>0</v>
      </c>
      <c r="T472" s="1640">
        <f>'Part IV-A-Uses of Funds'!T36</f>
        <v>0</v>
      </c>
      <c r="U472" s="1625"/>
      <c r="V472" s="1739"/>
      <c r="W472" s="1329">
        <f>'Part IV-A-Uses of Funds'!W36</f>
        <v>0</v>
      </c>
      <c r="X472" s="1329">
        <f>'Part IV-A-Uses of Funds'!X36</f>
        <v>0</v>
      </c>
    </row>
    <row r="473" spans="1:24" ht="13.5">
      <c r="A473" s="1625"/>
      <c r="B473" s="1625" t="s">
        <v>2755</v>
      </c>
      <c r="C473" s="1625"/>
      <c r="D473" s="1749">
        <f>'DCA Underwriting Assumptions'!$R$76</f>
        <v>0.06</v>
      </c>
      <c r="E473" s="1750">
        <f>D473*(G463+G469)</f>
        <v>531000</v>
      </c>
      <c r="F473" s="1749" t="e">
        <f>IF(($G$27+$G$33)=0,0,G473/($G$27+$G$33))</f>
        <v>#VALUE!</v>
      </c>
      <c r="G473" s="1640">
        <f>'Part IV-A-Uses of Funds'!G37</f>
        <v>531000</v>
      </c>
      <c r="H473" s="1640">
        <f>'Part IV-A-Uses of Funds'!H37</f>
        <v>0</v>
      </c>
      <c r="I473" s="1632"/>
      <c r="J473" s="1640">
        <f>'Part IV-A-Uses of Funds'!J37</f>
        <v>531000</v>
      </c>
      <c r="K473" s="1640">
        <f>'Part IV-A-Uses of Funds'!K37</f>
        <v>0</v>
      </c>
      <c r="L473" s="1655"/>
      <c r="M473" s="1640">
        <f>'Part IV-A-Uses of Funds'!M37</f>
        <v>0</v>
      </c>
      <c r="N473" s="1640">
        <f>'Part IV-A-Uses of Funds'!N37</f>
        <v>0</v>
      </c>
      <c r="O473" s="1625"/>
      <c r="P473" s="1640">
        <f>'Part IV-A-Uses of Funds'!P37</f>
        <v>0</v>
      </c>
      <c r="Q473" s="1640">
        <f>'Part IV-A-Uses of Funds'!Q37</f>
        <v>0</v>
      </c>
      <c r="R473" s="1625"/>
      <c r="S473" s="1640">
        <f>'Part IV-A-Uses of Funds'!S37</f>
        <v>0</v>
      </c>
      <c r="T473" s="1640">
        <f>'Part IV-A-Uses of Funds'!T37</f>
        <v>0</v>
      </c>
      <c r="U473" s="1625"/>
      <c r="V473" s="1739"/>
      <c r="W473" s="1329">
        <f>'Part IV-A-Uses of Funds'!W37</f>
        <v>0</v>
      </c>
      <c r="X473" s="1329">
        <f>'Part IV-A-Uses of Funds'!X37</f>
        <v>0</v>
      </c>
    </row>
    <row r="474" spans="1:24" ht="13.5">
      <c r="A474" s="1625"/>
      <c r="B474" s="1631" t="s">
        <v>3759</v>
      </c>
      <c r="C474" s="1625"/>
      <c r="D474" s="1747">
        <f>SUM(D471:D473)</f>
        <v>0.14000000000000001</v>
      </c>
      <c r="E474" s="1751">
        <f>SUM(E471:E473)</f>
        <v>1239000</v>
      </c>
      <c r="F474" s="1742" t="s">
        <v>193</v>
      </c>
      <c r="G474" s="1640">
        <f>SUM(G471:H473)</f>
        <v>1239000</v>
      </c>
      <c r="H474" s="1640"/>
      <c r="I474" s="1625"/>
      <c r="J474" s="1640">
        <f>SUM(J471:K473)</f>
        <v>1239000</v>
      </c>
      <c r="K474" s="1640"/>
      <c r="L474" s="1655"/>
      <c r="M474" s="1640">
        <f>SUM(M471:N473)</f>
        <v>0</v>
      </c>
      <c r="N474" s="1640"/>
      <c r="O474" s="1625"/>
      <c r="P474" s="1640">
        <f>SUM(P471:Q473)</f>
        <v>0</v>
      </c>
      <c r="Q474" s="1640"/>
      <c r="R474" s="1625"/>
      <c r="S474" s="1640">
        <f>SUM(S471:T473)</f>
        <v>0</v>
      </c>
      <c r="T474" s="1640"/>
      <c r="U474" s="1625"/>
      <c r="V474" s="1739">
        <f>SUM(V471:V473)</f>
        <v>0</v>
      </c>
      <c r="W474" s="1329"/>
      <c r="X474" s="1329"/>
    </row>
    <row r="475" spans="1:24">
      <c r="A475" s="1623"/>
      <c r="B475" s="1623"/>
      <c r="C475" s="1623"/>
      <c r="D475" s="1623"/>
      <c r="E475" s="1623"/>
      <c r="F475" s="1623"/>
      <c r="G475" s="1623"/>
      <c r="H475" s="1623"/>
      <c r="I475" s="1623"/>
      <c r="J475" s="1623"/>
      <c r="K475" s="1623"/>
      <c r="L475" s="1623"/>
      <c r="M475" s="1623"/>
      <c r="N475" s="1623"/>
      <c r="O475" s="1623"/>
      <c r="P475" s="1623"/>
      <c r="Q475" s="1623"/>
      <c r="R475" s="1623"/>
      <c r="S475" s="1623"/>
      <c r="T475" s="1623"/>
      <c r="U475" s="1625"/>
      <c r="V475" s="1739"/>
      <c r="W475" s="1625"/>
      <c r="X475" s="1625"/>
    </row>
    <row r="476" spans="1:24">
      <c r="A476" s="1625"/>
      <c r="B476" s="1622" t="s">
        <v>4759</v>
      </c>
      <c r="C476" s="1625"/>
      <c r="D476" s="1625"/>
      <c r="E476" s="1625"/>
      <c r="F476" s="1625"/>
      <c r="G476" s="1625"/>
      <c r="H476" s="1625"/>
      <c r="I476" s="1625"/>
      <c r="J476" s="1655"/>
      <c r="K476" s="1640"/>
      <c r="L476" s="1625"/>
      <c r="M476" s="1655"/>
      <c r="N476" s="1640"/>
      <c r="O476" s="1743" t="str">
        <f>B476</f>
        <v>OTHER CONSTRUCTION HARD COSTS (Non-GC work scope items done by Owner)</v>
      </c>
      <c r="P476" s="1655"/>
      <c r="Q476" s="1640"/>
      <c r="R476" s="1625"/>
      <c r="S476" s="1655"/>
      <c r="T476" s="1640"/>
      <c r="U476" s="1625"/>
      <c r="V476" s="1739"/>
      <c r="W476" s="1625" t="str">
        <f>B476</f>
        <v>OTHER CONSTRUCTION HARD COSTS (Non-GC work scope items done by Owner)</v>
      </c>
      <c r="X476" s="1625"/>
    </row>
    <row r="477" spans="1:24" ht="12.75" customHeight="1">
      <c r="A477" s="1632"/>
      <c r="B477" s="1625" t="s">
        <v>749</v>
      </c>
      <c r="C477" s="1643" t="str">
        <f>'Part IV-A-Uses of Funds'!C41</f>
        <v>&lt;&lt; Enter description here; provide detail &amp; justification in tab Part IV-b &gt;&gt;</v>
      </c>
      <c r="D477" s="1752">
        <f>'Part IV-A-Uses of Funds'!D41</f>
        <v>0</v>
      </c>
      <c r="E477" s="1752">
        <f>'Part IV-A-Uses of Funds'!E41</f>
        <v>0</v>
      </c>
      <c r="F477" s="1752">
        <f>'Part IV-A-Uses of Funds'!F41</f>
        <v>0</v>
      </c>
      <c r="G477" s="1640">
        <f>'Part IV-A-Uses of Funds'!G41</f>
        <v>0</v>
      </c>
      <c r="H477" s="1640">
        <f>'Part IV-A-Uses of Funds'!H41</f>
        <v>0</v>
      </c>
      <c r="I477" s="1625"/>
      <c r="J477" s="1640">
        <f>'Part IV-A-Uses of Funds'!J41</f>
        <v>0</v>
      </c>
      <c r="K477" s="1640">
        <f>'Part IV-A-Uses of Funds'!K41</f>
        <v>0</v>
      </c>
      <c r="L477" s="1655"/>
      <c r="M477" s="1640">
        <f>'Part IV-A-Uses of Funds'!M41</f>
        <v>0</v>
      </c>
      <c r="N477" s="1640">
        <f>'Part IV-A-Uses of Funds'!N41</f>
        <v>0</v>
      </c>
      <c r="O477" s="1625"/>
      <c r="P477" s="1640">
        <f>'Part IV-A-Uses of Funds'!P41</f>
        <v>0</v>
      </c>
      <c r="Q477" s="1640">
        <f>'Part IV-A-Uses of Funds'!Q41</f>
        <v>0</v>
      </c>
      <c r="R477" s="1625"/>
      <c r="S477" s="1640">
        <f>'Part IV-A-Uses of Funds'!S41</f>
        <v>0</v>
      </c>
      <c r="T477" s="1640">
        <f>'Part IV-A-Uses of Funds'!T41</f>
        <v>0</v>
      </c>
      <c r="U477" s="1632"/>
      <c r="V477" s="1739"/>
      <c r="W477" s="1329">
        <f>'Part IV-A-Uses of Funds'!W41</f>
        <v>0</v>
      </c>
      <c r="X477" s="1329">
        <f>'Part IV-A-Uses of Funds'!X41</f>
        <v>0</v>
      </c>
    </row>
    <row r="478" spans="1:24">
      <c r="A478" s="1623"/>
      <c r="B478" s="1623"/>
      <c r="C478" s="1623"/>
      <c r="D478" s="1623"/>
      <c r="E478" s="1623"/>
      <c r="F478" s="1623"/>
      <c r="G478" s="1623"/>
      <c r="H478" s="1623"/>
      <c r="I478" s="1623"/>
      <c r="J478" s="1623"/>
      <c r="K478" s="1623"/>
      <c r="L478" s="1623"/>
      <c r="M478" s="1623"/>
      <c r="N478" s="1623"/>
      <c r="O478" s="1623"/>
      <c r="P478" s="1623"/>
      <c r="Q478" s="1623"/>
      <c r="R478" s="1623"/>
      <c r="S478" s="1623"/>
      <c r="T478" s="1623"/>
      <c r="U478" s="1625"/>
      <c r="V478" s="1739"/>
      <c r="W478" s="1329">
        <f>'Part IV-A-Uses of Funds'!W42</f>
        <v>0</v>
      </c>
      <c r="X478" s="1329">
        <f>'Part IV-A-Uses of Funds'!X42</f>
        <v>0</v>
      </c>
    </row>
    <row r="479" spans="1:24" ht="12.75" customHeight="1">
      <c r="A479" s="1625"/>
      <c r="B479" s="1753" t="s">
        <v>4760</v>
      </c>
      <c r="C479" s="1754"/>
      <c r="D479" s="1625"/>
      <c r="E479" s="1624" t="s">
        <v>2762</v>
      </c>
      <c r="F479" s="1755">
        <f>B480/'Part VI-Revenues &amp; Expenses'!$O$60</f>
        <v>155215.38461538462</v>
      </c>
      <c r="G479" s="1756" t="s">
        <v>4761</v>
      </c>
      <c r="H479" s="1625"/>
      <c r="I479" s="1625"/>
      <c r="J479" s="1757">
        <f>B480/'Part VI-Revenues &amp; Expenses'!$O$62</f>
        <v>155215.38461538462</v>
      </c>
      <c r="K479" s="1757"/>
      <c r="L479" s="1625"/>
      <c r="M479" s="1758" t="s">
        <v>1414</v>
      </c>
      <c r="N479" s="1758"/>
      <c r="O479" s="1625"/>
      <c r="P479" s="1757">
        <f>B480/'Part I-Project Information'!$P$71</f>
        <v>115.42421746293246</v>
      </c>
      <c r="Q479" s="1757"/>
      <c r="R479" s="1625"/>
      <c r="S479" s="1664" t="s">
        <v>2796</v>
      </c>
      <c r="T479" s="1664"/>
      <c r="U479" s="1625"/>
      <c r="V479" s="1739"/>
      <c r="W479" s="1329">
        <f>'Part IV-A-Uses of Funds'!W43</f>
        <v>0</v>
      </c>
      <c r="X479" s="1329">
        <f>'Part IV-A-Uses of Funds'!X43</f>
        <v>0</v>
      </c>
    </row>
    <row r="480" spans="1:24">
      <c r="A480" s="1625"/>
      <c r="B480" s="1759">
        <f>G463+G469+G474+G477</f>
        <v>10089000</v>
      </c>
      <c r="C480" s="1759"/>
      <c r="D480" s="1625"/>
      <c r="E480" s="1624"/>
      <c r="F480" s="1755">
        <f>B480/'Part VI-Revenues &amp; Expenses'!$O$117</f>
        <v>115.42421746293246</v>
      </c>
      <c r="G480" s="1664" t="s">
        <v>4762</v>
      </c>
      <c r="H480" s="1625"/>
      <c r="I480" s="1625"/>
      <c r="J480" s="1757">
        <f>B480/'Part VI-Revenues &amp; Expenses'!$O$119</f>
        <v>115.42421746293246</v>
      </c>
      <c r="K480" s="1757"/>
      <c r="L480" s="1625"/>
      <c r="M480" s="1664" t="s">
        <v>2795</v>
      </c>
      <c r="N480" s="1664"/>
      <c r="O480" s="1625"/>
      <c r="P480" s="1625"/>
      <c r="Q480" s="1625"/>
      <c r="R480" s="1625"/>
      <c r="S480" s="1625"/>
      <c r="T480" s="1625"/>
      <c r="U480" s="1625"/>
      <c r="V480" s="1739"/>
      <c r="W480" s="1329">
        <f>'Part IV-A-Uses of Funds'!W44</f>
        <v>0</v>
      </c>
      <c r="X480" s="1329">
        <f>'Part IV-A-Uses of Funds'!X44</f>
        <v>0</v>
      </c>
    </row>
    <row r="481" spans="1:24">
      <c r="A481" s="1623"/>
      <c r="B481" s="1623"/>
      <c r="C481" s="1623"/>
      <c r="D481" s="1623"/>
      <c r="E481" s="1623"/>
      <c r="F481" s="1623"/>
      <c r="G481" s="1623"/>
      <c r="H481" s="1623"/>
      <c r="I481" s="1623"/>
      <c r="J481" s="1623"/>
      <c r="K481" s="1623"/>
      <c r="L481" s="1623"/>
      <c r="M481" s="1623"/>
      <c r="N481" s="1623"/>
      <c r="O481" s="1623"/>
      <c r="P481" s="1623"/>
      <c r="Q481" s="1623"/>
      <c r="R481" s="1623"/>
      <c r="S481" s="1623"/>
      <c r="T481" s="1623"/>
      <c r="U481" s="1625"/>
      <c r="V481" s="1739"/>
      <c r="W481" s="1625"/>
      <c r="X481" s="1625"/>
    </row>
    <row r="482" spans="1:24">
      <c r="A482" s="1625"/>
      <c r="B482" s="1622" t="s">
        <v>1136</v>
      </c>
      <c r="C482" s="1625"/>
      <c r="D482" s="1625"/>
      <c r="E482" s="1625"/>
      <c r="F482" s="1760" t="s">
        <v>4240</v>
      </c>
      <c r="G482" s="1625"/>
      <c r="H482" s="1625"/>
      <c r="I482" s="1625"/>
      <c r="J482" s="1655"/>
      <c r="K482" s="1640"/>
      <c r="L482" s="1625"/>
      <c r="M482" s="1655"/>
      <c r="N482" s="1640"/>
      <c r="O482" s="1743" t="str">
        <f>B482</f>
        <v>CONSTRUCTION CONTINGENCY</v>
      </c>
      <c r="P482" s="1655"/>
      <c r="Q482" s="1640"/>
      <c r="R482" s="1625"/>
      <c r="S482" s="1655"/>
      <c r="T482" s="1640"/>
      <c r="U482" s="1625"/>
      <c r="V482" s="1739"/>
      <c r="W482" s="1625" t="str">
        <f>B482</f>
        <v>CONSTRUCTION CONTINGENCY</v>
      </c>
      <c r="X482" s="1625"/>
    </row>
    <row r="483" spans="1:24" ht="13.5">
      <c r="A483" s="1632"/>
      <c r="B483" s="1625" t="s">
        <v>1977</v>
      </c>
      <c r="C483" s="1632"/>
      <c r="D483" s="1761" t="s">
        <v>4239</v>
      </c>
      <c r="E483" s="1762">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504450</v>
      </c>
      <c r="F483" s="1763">
        <f>G483/B480</f>
        <v>4.9856279115868769E-2</v>
      </c>
      <c r="G483" s="1640">
        <f>'Part IV-A-Uses of Funds'!G47</f>
        <v>503000</v>
      </c>
      <c r="H483" s="1640">
        <f>'Part IV-A-Uses of Funds'!H47</f>
        <v>0</v>
      </c>
      <c r="I483" s="1625"/>
      <c r="J483" s="1640">
        <f>'Part IV-A-Uses of Funds'!J47</f>
        <v>503000</v>
      </c>
      <c r="K483" s="1640">
        <f>'Part IV-A-Uses of Funds'!K47</f>
        <v>0</v>
      </c>
      <c r="L483" s="1655"/>
      <c r="M483" s="1640">
        <f>'Part IV-A-Uses of Funds'!M47</f>
        <v>0</v>
      </c>
      <c r="N483" s="1640">
        <f>'Part IV-A-Uses of Funds'!N47</f>
        <v>0</v>
      </c>
      <c r="O483" s="1625"/>
      <c r="P483" s="1640">
        <f>'Part IV-A-Uses of Funds'!P47</f>
        <v>0</v>
      </c>
      <c r="Q483" s="1640">
        <f>'Part IV-A-Uses of Funds'!Q47</f>
        <v>0</v>
      </c>
      <c r="R483" s="1625"/>
      <c r="S483" s="1640">
        <f>'Part IV-A-Uses of Funds'!S47</f>
        <v>0</v>
      </c>
      <c r="T483" s="1640">
        <f>'Part IV-A-Uses of Funds'!T47</f>
        <v>0</v>
      </c>
      <c r="U483" s="1632"/>
      <c r="V483" s="1739"/>
      <c r="W483" s="1329">
        <f>'Part IV-A-Uses of Funds'!W47</f>
        <v>0</v>
      </c>
      <c r="X483" s="1329">
        <f>'Part IV-A-Uses of Funds'!X47</f>
        <v>0</v>
      </c>
    </row>
    <row r="484" spans="1:24">
      <c r="A484" s="1623"/>
      <c r="B484" s="1623"/>
      <c r="C484" s="1623"/>
      <c r="D484" s="1623"/>
      <c r="E484" s="1623"/>
      <c r="F484" s="1623"/>
      <c r="G484" s="1623"/>
      <c r="H484" s="1623"/>
      <c r="I484" s="1623"/>
      <c r="J484" s="1623"/>
      <c r="K484" s="1623"/>
      <c r="L484" s="1623"/>
      <c r="M484" s="1623"/>
      <c r="N484" s="1623"/>
      <c r="O484" s="1623"/>
      <c r="P484" s="1623"/>
      <c r="Q484" s="1623"/>
      <c r="R484" s="1623"/>
      <c r="S484" s="1623"/>
      <c r="T484" s="1623"/>
      <c r="U484" s="1625"/>
      <c r="V484" s="1739"/>
      <c r="W484" s="1625"/>
      <c r="X484" s="1625"/>
    </row>
    <row r="485" spans="1:24" ht="17.25" customHeight="1">
      <c r="A485" s="1736" t="s">
        <v>622</v>
      </c>
      <c r="B485" s="1736" t="s">
        <v>4763</v>
      </c>
      <c r="C485" s="1625"/>
      <c r="D485" s="1625"/>
      <c r="E485" s="1625"/>
      <c r="F485" s="1625"/>
      <c r="G485" s="1625"/>
      <c r="H485" s="1625"/>
      <c r="I485" s="1625"/>
      <c r="J485" s="1624" t="s">
        <v>273</v>
      </c>
      <c r="K485" s="1624"/>
      <c r="L485" s="1640"/>
      <c r="M485" s="1737" t="s">
        <v>494</v>
      </c>
      <c r="N485" s="1737"/>
      <c r="O485" s="1625"/>
      <c r="P485" s="1624" t="s">
        <v>274</v>
      </c>
      <c r="Q485" s="1624"/>
      <c r="R485" s="1625"/>
      <c r="S485" s="1624" t="s">
        <v>275</v>
      </c>
      <c r="T485" s="1624"/>
      <c r="U485" s="1625"/>
      <c r="V485" s="1739"/>
      <c r="W485" s="1738" t="str">
        <f>B485</f>
        <v>DEVELOPMENT BUDGET (cont'd)</v>
      </c>
      <c r="X485" s="1625"/>
    </row>
    <row r="486" spans="1:24">
      <c r="A486" s="1625"/>
      <c r="B486" s="1625"/>
      <c r="C486" s="1625"/>
      <c r="D486" s="1625"/>
      <c r="E486" s="1625"/>
      <c r="F486" s="1625"/>
      <c r="G486" s="1622" t="s">
        <v>102</v>
      </c>
      <c r="H486" s="1622"/>
      <c r="I486" s="1625"/>
      <c r="J486" s="1624"/>
      <c r="K486" s="1624"/>
      <c r="L486" s="1640"/>
      <c r="M486" s="1737"/>
      <c r="N486" s="1737"/>
      <c r="O486" s="1625"/>
      <c r="P486" s="1624"/>
      <c r="Q486" s="1624"/>
      <c r="R486" s="1625"/>
      <c r="S486" s="1624"/>
      <c r="T486" s="1624"/>
      <c r="U486" s="1625"/>
      <c r="V486" s="1739"/>
      <c r="W486" s="1675" t="s">
        <v>2700</v>
      </c>
      <c r="X486" s="1675"/>
    </row>
    <row r="487" spans="1:24">
      <c r="A487" s="1625"/>
      <c r="B487" s="1622" t="s">
        <v>730</v>
      </c>
      <c r="C487" s="1625"/>
      <c r="D487" s="1625"/>
      <c r="E487" s="1625"/>
      <c r="F487" s="1625"/>
      <c r="G487" s="1625"/>
      <c r="H487" s="1625"/>
      <c r="I487" s="1625"/>
      <c r="J487" s="1655"/>
      <c r="K487" s="1640"/>
      <c r="L487" s="1625"/>
      <c r="M487" s="1655"/>
      <c r="N487" s="1640"/>
      <c r="O487" s="1743" t="str">
        <f>B487</f>
        <v>CONSTRUCTION PERIOD FINANCING</v>
      </c>
      <c r="P487" s="1655"/>
      <c r="Q487" s="1640"/>
      <c r="R487" s="1625"/>
      <c r="S487" s="1655"/>
      <c r="T487" s="1640"/>
      <c r="U487" s="1625"/>
      <c r="V487" s="1739"/>
      <c r="W487" s="1625" t="str">
        <f>B487</f>
        <v>CONSTRUCTION PERIOD FINANCING</v>
      </c>
      <c r="X487" s="1625"/>
    </row>
    <row r="488" spans="1:24">
      <c r="A488" s="1625"/>
      <c r="B488" s="1625" t="s">
        <v>3760</v>
      </c>
      <c r="C488" s="1625"/>
      <c r="D488" s="1625"/>
      <c r="E488" s="1625"/>
      <c r="F488" s="1625"/>
      <c r="G488" s="1640">
        <f>'Part IV-A-Uses of Funds'!G52</f>
        <v>0</v>
      </c>
      <c r="H488" s="1640">
        <f>'Part IV-A-Uses of Funds'!H52</f>
        <v>0</v>
      </c>
      <c r="I488" s="1625"/>
      <c r="J488" s="1640">
        <f>'Part IV-A-Uses of Funds'!J52</f>
        <v>0</v>
      </c>
      <c r="K488" s="1640">
        <f>'Part IV-A-Uses of Funds'!K52</f>
        <v>0</v>
      </c>
      <c r="L488" s="1655"/>
      <c r="M488" s="1640">
        <f>'Part IV-A-Uses of Funds'!M52</f>
        <v>0</v>
      </c>
      <c r="N488" s="1640">
        <f>'Part IV-A-Uses of Funds'!N52</f>
        <v>0</v>
      </c>
      <c r="O488" s="1625"/>
      <c r="P488" s="1640">
        <f>'Part IV-A-Uses of Funds'!P52</f>
        <v>0</v>
      </c>
      <c r="Q488" s="1640">
        <f>'Part IV-A-Uses of Funds'!Q52</f>
        <v>0</v>
      </c>
      <c r="R488" s="1625"/>
      <c r="S488" s="1640">
        <f>'Part IV-A-Uses of Funds'!S52</f>
        <v>0</v>
      </c>
      <c r="T488" s="1640">
        <f>'Part IV-A-Uses of Funds'!T52</f>
        <v>0</v>
      </c>
      <c r="U488" s="1625"/>
      <c r="V488" s="1739"/>
      <c r="W488" s="1329"/>
      <c r="X488" s="1329"/>
    </row>
    <row r="489" spans="1:24">
      <c r="A489" s="1625"/>
      <c r="B489" s="1625" t="s">
        <v>3761</v>
      </c>
      <c r="C489" s="1625"/>
      <c r="D489" s="1625"/>
      <c r="E489" s="1625"/>
      <c r="F489" s="1625"/>
      <c r="G489" s="1640">
        <f>'Part IV-A-Uses of Funds'!G53</f>
        <v>0</v>
      </c>
      <c r="H489" s="1640">
        <f>'Part IV-A-Uses of Funds'!H53</f>
        <v>0</v>
      </c>
      <c r="I489" s="1625"/>
      <c r="J489" s="1640">
        <f>'Part IV-A-Uses of Funds'!J53</f>
        <v>0</v>
      </c>
      <c r="K489" s="1640">
        <f>'Part IV-A-Uses of Funds'!K53</f>
        <v>0</v>
      </c>
      <c r="L489" s="1655"/>
      <c r="M489" s="1640">
        <f>'Part IV-A-Uses of Funds'!M53</f>
        <v>0</v>
      </c>
      <c r="N489" s="1640">
        <f>'Part IV-A-Uses of Funds'!N53</f>
        <v>0</v>
      </c>
      <c r="O489" s="1625"/>
      <c r="P489" s="1640">
        <f>'Part IV-A-Uses of Funds'!P53</f>
        <v>0</v>
      </c>
      <c r="Q489" s="1640">
        <f>'Part IV-A-Uses of Funds'!Q53</f>
        <v>0</v>
      </c>
      <c r="R489" s="1625"/>
      <c r="S489" s="1640">
        <f>'Part IV-A-Uses of Funds'!S53</f>
        <v>0</v>
      </c>
      <c r="T489" s="1640">
        <f>'Part IV-A-Uses of Funds'!T53</f>
        <v>0</v>
      </c>
      <c r="U489" s="1625"/>
      <c r="V489" s="1739"/>
      <c r="W489" s="1329"/>
      <c r="X489" s="1329"/>
    </row>
    <row r="490" spans="1:24">
      <c r="A490" s="1625"/>
      <c r="B490" s="1625" t="s">
        <v>2362</v>
      </c>
      <c r="C490" s="1625"/>
      <c r="D490" s="1625"/>
      <c r="E490" s="1625"/>
      <c r="F490" s="1625"/>
      <c r="G490" s="1640">
        <f>'Part IV-A-Uses of Funds'!G54</f>
        <v>7500</v>
      </c>
      <c r="H490" s="1640">
        <f>'Part IV-A-Uses of Funds'!H54</f>
        <v>0</v>
      </c>
      <c r="I490" s="1625"/>
      <c r="J490" s="1640">
        <f>'Part IV-A-Uses of Funds'!J54</f>
        <v>7500</v>
      </c>
      <c r="K490" s="1640">
        <f>'Part IV-A-Uses of Funds'!K54</f>
        <v>0</v>
      </c>
      <c r="L490" s="1655"/>
      <c r="M490" s="1640">
        <f>'Part IV-A-Uses of Funds'!M54</f>
        <v>0</v>
      </c>
      <c r="N490" s="1640">
        <f>'Part IV-A-Uses of Funds'!N54</f>
        <v>0</v>
      </c>
      <c r="O490" s="1625"/>
      <c r="P490" s="1640">
        <f>'Part IV-A-Uses of Funds'!P54</f>
        <v>0</v>
      </c>
      <c r="Q490" s="1640">
        <f>'Part IV-A-Uses of Funds'!Q54</f>
        <v>0</v>
      </c>
      <c r="R490" s="1625"/>
      <c r="S490" s="1640">
        <f>'Part IV-A-Uses of Funds'!S54</f>
        <v>0</v>
      </c>
      <c r="T490" s="1640">
        <f>'Part IV-A-Uses of Funds'!T54</f>
        <v>0</v>
      </c>
      <c r="U490" s="1625"/>
      <c r="V490" s="1739"/>
      <c r="W490" s="1329"/>
      <c r="X490" s="1329"/>
    </row>
    <row r="491" spans="1:24">
      <c r="A491" s="1625"/>
      <c r="B491" s="1625" t="s">
        <v>2363</v>
      </c>
      <c r="C491" s="1625"/>
      <c r="D491" s="1625"/>
      <c r="E491" s="1625"/>
      <c r="F491" s="1625"/>
      <c r="G491" s="1640">
        <f>'Part IV-A-Uses of Funds'!G55</f>
        <v>64200</v>
      </c>
      <c r="H491" s="1640">
        <f>'Part IV-A-Uses of Funds'!H55</f>
        <v>0</v>
      </c>
      <c r="I491" s="1625"/>
      <c r="J491" s="1640">
        <f>'Part IV-A-Uses of Funds'!J55</f>
        <v>50000</v>
      </c>
      <c r="K491" s="1640">
        <f>'Part IV-A-Uses of Funds'!K55</f>
        <v>0</v>
      </c>
      <c r="L491" s="1655"/>
      <c r="M491" s="1640">
        <f>'Part IV-A-Uses of Funds'!M55</f>
        <v>0</v>
      </c>
      <c r="N491" s="1640">
        <f>'Part IV-A-Uses of Funds'!N55</f>
        <v>0</v>
      </c>
      <c r="O491" s="1625"/>
      <c r="P491" s="1640">
        <f>'Part IV-A-Uses of Funds'!P55</f>
        <v>0</v>
      </c>
      <c r="Q491" s="1640">
        <f>'Part IV-A-Uses of Funds'!Q55</f>
        <v>0</v>
      </c>
      <c r="R491" s="1625"/>
      <c r="S491" s="1640">
        <f>'Part IV-A-Uses of Funds'!S55</f>
        <v>14200</v>
      </c>
      <c r="T491" s="1640">
        <f>'Part IV-A-Uses of Funds'!T55</f>
        <v>0</v>
      </c>
      <c r="U491" s="1625"/>
      <c r="V491" s="1739"/>
      <c r="W491" s="1329"/>
      <c r="X491" s="1329"/>
    </row>
    <row r="492" spans="1:24">
      <c r="A492" s="1625"/>
      <c r="B492" s="1625" t="s">
        <v>2364</v>
      </c>
      <c r="C492" s="1625"/>
      <c r="D492" s="1625"/>
      <c r="E492" s="1625"/>
      <c r="F492" s="1625"/>
      <c r="G492" s="1640">
        <f>'Part IV-A-Uses of Funds'!G56</f>
        <v>20000</v>
      </c>
      <c r="H492" s="1640">
        <f>'Part IV-A-Uses of Funds'!H56</f>
        <v>0</v>
      </c>
      <c r="I492" s="1625"/>
      <c r="J492" s="1640">
        <f>'Part IV-A-Uses of Funds'!J56</f>
        <v>20000</v>
      </c>
      <c r="K492" s="1640">
        <f>'Part IV-A-Uses of Funds'!K56</f>
        <v>0</v>
      </c>
      <c r="L492" s="1655"/>
      <c r="M492" s="1640">
        <f>'Part IV-A-Uses of Funds'!M56</f>
        <v>0</v>
      </c>
      <c r="N492" s="1640">
        <f>'Part IV-A-Uses of Funds'!N56</f>
        <v>0</v>
      </c>
      <c r="O492" s="1625"/>
      <c r="P492" s="1640">
        <f>'Part IV-A-Uses of Funds'!P56</f>
        <v>0</v>
      </c>
      <c r="Q492" s="1640">
        <f>'Part IV-A-Uses of Funds'!Q56</f>
        <v>0</v>
      </c>
      <c r="R492" s="1625"/>
      <c r="S492" s="1640">
        <f>'Part IV-A-Uses of Funds'!S56</f>
        <v>0</v>
      </c>
      <c r="T492" s="1640">
        <f>'Part IV-A-Uses of Funds'!T56</f>
        <v>0</v>
      </c>
      <c r="U492" s="1625"/>
      <c r="V492" s="1739"/>
      <c r="W492" s="1329"/>
      <c r="X492" s="1329"/>
    </row>
    <row r="493" spans="1:24">
      <c r="A493" s="1625"/>
      <c r="B493" s="1625" t="s">
        <v>2704</v>
      </c>
      <c r="C493" s="1625"/>
      <c r="D493" s="1625"/>
      <c r="E493" s="1625"/>
      <c r="F493" s="1625"/>
      <c r="G493" s="1640">
        <f>'Part IV-A-Uses of Funds'!G57</f>
        <v>5000</v>
      </c>
      <c r="H493" s="1640">
        <f>'Part IV-A-Uses of Funds'!H57</f>
        <v>0</v>
      </c>
      <c r="I493" s="1625"/>
      <c r="J493" s="1640">
        <f>'Part IV-A-Uses of Funds'!J57</f>
        <v>5000</v>
      </c>
      <c r="K493" s="1640">
        <f>'Part IV-A-Uses of Funds'!K57</f>
        <v>0</v>
      </c>
      <c r="L493" s="1655"/>
      <c r="M493" s="1640">
        <f>'Part IV-A-Uses of Funds'!M57</f>
        <v>0</v>
      </c>
      <c r="N493" s="1640">
        <f>'Part IV-A-Uses of Funds'!N57</f>
        <v>0</v>
      </c>
      <c r="O493" s="1625"/>
      <c r="P493" s="1640">
        <f>'Part IV-A-Uses of Funds'!P57</f>
        <v>0</v>
      </c>
      <c r="Q493" s="1640">
        <f>'Part IV-A-Uses of Funds'!Q57</f>
        <v>0</v>
      </c>
      <c r="R493" s="1625"/>
      <c r="S493" s="1640">
        <f>'Part IV-A-Uses of Funds'!S57</f>
        <v>0</v>
      </c>
      <c r="T493" s="1640">
        <f>'Part IV-A-Uses of Funds'!T57</f>
        <v>0</v>
      </c>
      <c r="U493" s="1625"/>
      <c r="V493" s="1739"/>
      <c r="W493" s="1329"/>
      <c r="X493" s="1329"/>
    </row>
    <row r="494" spans="1:24">
      <c r="A494" s="1625"/>
      <c r="B494" s="1625" t="s">
        <v>731</v>
      </c>
      <c r="C494" s="1625"/>
      <c r="D494" s="1625"/>
      <c r="E494" s="1625"/>
      <c r="F494" s="1625"/>
      <c r="G494" s="1640">
        <f>'Part IV-A-Uses of Funds'!G58</f>
        <v>5000</v>
      </c>
      <c r="H494" s="1640">
        <f>'Part IV-A-Uses of Funds'!H58</f>
        <v>0</v>
      </c>
      <c r="I494" s="1625"/>
      <c r="J494" s="1640">
        <f>'Part IV-A-Uses of Funds'!J58</f>
        <v>5000</v>
      </c>
      <c r="K494" s="1640">
        <f>'Part IV-A-Uses of Funds'!K58</f>
        <v>0</v>
      </c>
      <c r="L494" s="1655"/>
      <c r="M494" s="1640">
        <f>'Part IV-A-Uses of Funds'!M58</f>
        <v>0</v>
      </c>
      <c r="N494" s="1640">
        <f>'Part IV-A-Uses of Funds'!N58</f>
        <v>0</v>
      </c>
      <c r="O494" s="1625"/>
      <c r="P494" s="1640">
        <f>'Part IV-A-Uses of Funds'!P58</f>
        <v>0</v>
      </c>
      <c r="Q494" s="1640">
        <f>'Part IV-A-Uses of Funds'!Q58</f>
        <v>0</v>
      </c>
      <c r="R494" s="1625"/>
      <c r="S494" s="1640">
        <f>'Part IV-A-Uses of Funds'!S58</f>
        <v>0</v>
      </c>
      <c r="T494" s="1640">
        <f>'Part IV-A-Uses of Funds'!T58</f>
        <v>0</v>
      </c>
      <c r="U494" s="1625"/>
      <c r="V494" s="1739"/>
      <c r="W494" s="1329"/>
      <c r="X494" s="1329"/>
    </row>
    <row r="495" spans="1:24">
      <c r="A495" s="1625"/>
      <c r="B495" s="1625" t="s">
        <v>2365</v>
      </c>
      <c r="C495" s="1625"/>
      <c r="D495" s="1625"/>
      <c r="E495" s="1625"/>
      <c r="F495" s="1625"/>
      <c r="G495" s="1640">
        <f>'Part IV-A-Uses of Funds'!G59</f>
        <v>26000</v>
      </c>
      <c r="H495" s="1640">
        <f>'Part IV-A-Uses of Funds'!H59</f>
        <v>0</v>
      </c>
      <c r="I495" s="1625"/>
      <c r="J495" s="1640">
        <f>'Part IV-A-Uses of Funds'!J59</f>
        <v>26000</v>
      </c>
      <c r="K495" s="1640">
        <f>'Part IV-A-Uses of Funds'!K59</f>
        <v>0</v>
      </c>
      <c r="L495" s="1655"/>
      <c r="M495" s="1640">
        <f>'Part IV-A-Uses of Funds'!M59</f>
        <v>0</v>
      </c>
      <c r="N495" s="1640">
        <f>'Part IV-A-Uses of Funds'!N59</f>
        <v>0</v>
      </c>
      <c r="O495" s="1625"/>
      <c r="P495" s="1640">
        <f>'Part IV-A-Uses of Funds'!P59</f>
        <v>0</v>
      </c>
      <c r="Q495" s="1640">
        <f>'Part IV-A-Uses of Funds'!Q59</f>
        <v>0</v>
      </c>
      <c r="R495" s="1625"/>
      <c r="S495" s="1640">
        <f>'Part IV-A-Uses of Funds'!S59</f>
        <v>0</v>
      </c>
      <c r="T495" s="1640">
        <f>'Part IV-A-Uses of Funds'!T59</f>
        <v>0</v>
      </c>
      <c r="U495" s="1625"/>
      <c r="V495" s="1739"/>
      <c r="W495" s="1329"/>
      <c r="X495" s="1329"/>
    </row>
    <row r="496" spans="1:24">
      <c r="A496" s="1625"/>
      <c r="B496" s="1625" t="s">
        <v>1288</v>
      </c>
      <c r="C496" s="1625"/>
      <c r="D496" s="1625"/>
      <c r="E496" s="1625"/>
      <c r="F496" s="1625"/>
      <c r="G496" s="1640">
        <f>'Part IV-A-Uses of Funds'!G60</f>
        <v>17500</v>
      </c>
      <c r="H496" s="1640">
        <f>'Part IV-A-Uses of Funds'!H60</f>
        <v>0</v>
      </c>
      <c r="I496" s="1625"/>
      <c r="J496" s="1640">
        <f>'Part IV-A-Uses of Funds'!J60</f>
        <v>17500</v>
      </c>
      <c r="K496" s="1640">
        <f>'Part IV-A-Uses of Funds'!K60</f>
        <v>0</v>
      </c>
      <c r="L496" s="1655"/>
      <c r="M496" s="1640">
        <f>'Part IV-A-Uses of Funds'!M60</f>
        <v>0</v>
      </c>
      <c r="N496" s="1640">
        <f>'Part IV-A-Uses of Funds'!N60</f>
        <v>0</v>
      </c>
      <c r="O496" s="1625"/>
      <c r="P496" s="1640">
        <f>'Part IV-A-Uses of Funds'!P60</f>
        <v>0</v>
      </c>
      <c r="Q496" s="1640">
        <f>'Part IV-A-Uses of Funds'!Q60</f>
        <v>0</v>
      </c>
      <c r="R496" s="1625"/>
      <c r="S496" s="1640">
        <f>'Part IV-A-Uses of Funds'!S60</f>
        <v>0</v>
      </c>
      <c r="T496" s="1640">
        <f>'Part IV-A-Uses of Funds'!T60</f>
        <v>0</v>
      </c>
      <c r="U496" s="1625"/>
      <c r="V496" s="1739"/>
      <c r="W496" s="1329"/>
      <c r="X496" s="1329"/>
    </row>
    <row r="497" spans="1:24">
      <c r="A497" s="1625"/>
      <c r="B497" s="1764" t="s">
        <v>1163</v>
      </c>
      <c r="C497" s="1625"/>
      <c r="D497" s="1763"/>
      <c r="E497" s="1763"/>
      <c r="F497" s="1765"/>
      <c r="G497" s="1640">
        <f>'Part IV-A-Uses of Funds'!G61</f>
        <v>75000</v>
      </c>
      <c r="H497" s="1640">
        <f>'Part IV-A-Uses of Funds'!H61</f>
        <v>0</v>
      </c>
      <c r="I497" s="1632"/>
      <c r="J497" s="1640">
        <f>'Part IV-A-Uses of Funds'!J61</f>
        <v>75000</v>
      </c>
      <c r="K497" s="1640">
        <f>'Part IV-A-Uses of Funds'!K61</f>
        <v>0</v>
      </c>
      <c r="L497" s="1655"/>
      <c r="M497" s="1640">
        <f>'Part IV-A-Uses of Funds'!M61</f>
        <v>0</v>
      </c>
      <c r="N497" s="1640">
        <f>'Part IV-A-Uses of Funds'!N61</f>
        <v>0</v>
      </c>
      <c r="O497" s="1625"/>
      <c r="P497" s="1640">
        <f>'Part IV-A-Uses of Funds'!P61</f>
        <v>0</v>
      </c>
      <c r="Q497" s="1640">
        <f>'Part IV-A-Uses of Funds'!Q61</f>
        <v>0</v>
      </c>
      <c r="R497" s="1625"/>
      <c r="S497" s="1640">
        <f>'Part IV-A-Uses of Funds'!S61</f>
        <v>0</v>
      </c>
      <c r="T497" s="1640">
        <f>'Part IV-A-Uses of Funds'!T61</f>
        <v>0</v>
      </c>
      <c r="U497" s="1625"/>
      <c r="V497" s="1739"/>
      <c r="W497" s="1329"/>
      <c r="X497" s="1329"/>
    </row>
    <row r="498" spans="1:24" ht="15.75" customHeight="1">
      <c r="A498" s="1740" t="str">
        <f>IF(AND(G498&gt;0,OR(C498="",C498="&lt;Enter detailed description here; use Comments section if needed&gt;")),"X","")</f>
        <v/>
      </c>
      <c r="B498" s="1625" t="s">
        <v>749</v>
      </c>
      <c r="C498" s="1643" t="str">
        <f>'Part IV-A-Uses of Funds'!C62</f>
        <v>Georgia Power Installation</v>
      </c>
      <c r="D498" s="1643">
        <f>'Part IV-A-Uses of Funds'!D62</f>
        <v>0</v>
      </c>
      <c r="E498" s="1643">
        <f>'Part IV-A-Uses of Funds'!E62</f>
        <v>0</v>
      </c>
      <c r="F498" s="1643">
        <f>'Part IV-A-Uses of Funds'!F62</f>
        <v>0</v>
      </c>
      <c r="G498" s="1640">
        <f>'Part IV-A-Uses of Funds'!G62</f>
        <v>5000</v>
      </c>
      <c r="H498" s="1640">
        <f>'Part IV-A-Uses of Funds'!H62</f>
        <v>0</v>
      </c>
      <c r="I498" s="1625"/>
      <c r="J498" s="1640">
        <f>'Part IV-A-Uses of Funds'!J62</f>
        <v>5000</v>
      </c>
      <c r="K498" s="1640">
        <f>'Part IV-A-Uses of Funds'!K62</f>
        <v>0</v>
      </c>
      <c r="L498" s="1655"/>
      <c r="M498" s="1640">
        <f>'Part IV-A-Uses of Funds'!M62</f>
        <v>0</v>
      </c>
      <c r="N498" s="1640">
        <f>'Part IV-A-Uses of Funds'!N62</f>
        <v>0</v>
      </c>
      <c r="O498" s="1625"/>
      <c r="P498" s="1640">
        <f>'Part IV-A-Uses of Funds'!P62</f>
        <v>0</v>
      </c>
      <c r="Q498" s="1640">
        <f>'Part IV-A-Uses of Funds'!Q62</f>
        <v>0</v>
      </c>
      <c r="R498" s="1625"/>
      <c r="S498" s="1640">
        <f>'Part IV-A-Uses of Funds'!S62</f>
        <v>0</v>
      </c>
      <c r="T498" s="1640">
        <f>'Part IV-A-Uses of Funds'!T62</f>
        <v>0</v>
      </c>
      <c r="U498" s="1626" t="str">
        <f>IF(AND(G498&gt;0,OR(C498="",C498="&lt;Enter detailed description here; use Comments section if needed&gt;")),"NO DESCRIPTION PROVIDED - please enter detailed description in Other box at left; use Comments section below if needed.","")</f>
        <v/>
      </c>
      <c r="V498" s="1739"/>
      <c r="W498" s="1329"/>
      <c r="X498" s="1329"/>
    </row>
    <row r="499" spans="1:24" ht="16.5" customHeight="1">
      <c r="A499" s="1740" t="str">
        <f>IF(AND(G499&gt;0,OR(C499="",C499="&lt;Enter detailed description here; use Comments section if needed&gt;")),"X","")</f>
        <v/>
      </c>
      <c r="B499" s="1625" t="s">
        <v>749</v>
      </c>
      <c r="C499" s="1643" t="str">
        <f>'Part IV-A-Uses of Funds'!C63</f>
        <v>&lt;&lt; Enter description here; provide detail &amp; justification in tab Part IV-b &gt;&gt;</v>
      </c>
      <c r="D499" s="1643">
        <f>'Part IV-A-Uses of Funds'!D63</f>
        <v>0</v>
      </c>
      <c r="E499" s="1643">
        <f>'Part IV-A-Uses of Funds'!E63</f>
        <v>0</v>
      </c>
      <c r="F499" s="1643">
        <f>'Part IV-A-Uses of Funds'!F63</f>
        <v>0</v>
      </c>
      <c r="G499" s="1640">
        <f>'Part IV-A-Uses of Funds'!G63</f>
        <v>0</v>
      </c>
      <c r="H499" s="1640">
        <f>'Part IV-A-Uses of Funds'!H63</f>
        <v>0</v>
      </c>
      <c r="I499" s="1625"/>
      <c r="J499" s="1640">
        <f>'Part IV-A-Uses of Funds'!J63</f>
        <v>0</v>
      </c>
      <c r="K499" s="1640">
        <f>'Part IV-A-Uses of Funds'!K63</f>
        <v>0</v>
      </c>
      <c r="L499" s="1655"/>
      <c r="M499" s="1640">
        <f>'Part IV-A-Uses of Funds'!M63</f>
        <v>0</v>
      </c>
      <c r="N499" s="1640">
        <f>'Part IV-A-Uses of Funds'!N63</f>
        <v>0</v>
      </c>
      <c r="O499" s="1625"/>
      <c r="P499" s="1640">
        <f>'Part IV-A-Uses of Funds'!P63</f>
        <v>0</v>
      </c>
      <c r="Q499" s="1640">
        <f>'Part IV-A-Uses of Funds'!Q63</f>
        <v>0</v>
      </c>
      <c r="R499" s="1625"/>
      <c r="S499" s="1640">
        <f>'Part IV-A-Uses of Funds'!S63</f>
        <v>0</v>
      </c>
      <c r="T499" s="1640">
        <f>'Part IV-A-Uses of Funds'!T63</f>
        <v>0</v>
      </c>
      <c r="U499" s="1626" t="str">
        <f>IF(AND(G499&gt;0,OR(C499="",C499="&lt;Enter detailed description here; use Comments section if needed&gt;")),"NO DESCRIPTION PROVIDED - please enter detailed description in Other box at left; use Comments section below if needed.","")</f>
        <v/>
      </c>
      <c r="V499" s="1739"/>
      <c r="W499" s="1329"/>
      <c r="X499" s="1329"/>
    </row>
    <row r="500" spans="1:24">
      <c r="A500" s="1625"/>
      <c r="B500" s="1625"/>
      <c r="C500" s="1625"/>
      <c r="D500" s="1625"/>
      <c r="E500" s="1625"/>
      <c r="F500" s="1742" t="s">
        <v>193</v>
      </c>
      <c r="G500" s="1640">
        <f>SUM(G488:H499)</f>
        <v>225200</v>
      </c>
      <c r="H500" s="1640"/>
      <c r="I500" s="1625"/>
      <c r="J500" s="1640">
        <f>SUM(J488:K499)</f>
        <v>211000</v>
      </c>
      <c r="K500" s="1640"/>
      <c r="L500" s="1655"/>
      <c r="M500" s="1640">
        <f>SUM(M488:N499)</f>
        <v>0</v>
      </c>
      <c r="N500" s="1640"/>
      <c r="O500" s="1625"/>
      <c r="P500" s="1640">
        <f>SUM(P488:Q499)</f>
        <v>0</v>
      </c>
      <c r="Q500" s="1640"/>
      <c r="R500" s="1625"/>
      <c r="S500" s="1640">
        <f>SUM(S488:T499)</f>
        <v>14200</v>
      </c>
      <c r="T500" s="1640"/>
      <c r="U500" s="1625"/>
      <c r="V500" s="1739">
        <f>SUM(V488:V499)</f>
        <v>0</v>
      </c>
      <c r="W500" s="1329"/>
      <c r="X500" s="1329"/>
    </row>
    <row r="501" spans="1:24">
      <c r="A501" s="1625"/>
      <c r="B501" s="1622" t="s">
        <v>480</v>
      </c>
      <c r="C501" s="1625"/>
      <c r="D501" s="1625"/>
      <c r="E501" s="1625"/>
      <c r="F501" s="1625"/>
      <c r="G501" s="1640"/>
      <c r="H501" s="1640"/>
      <c r="I501" s="1625"/>
      <c r="J501" s="1640"/>
      <c r="K501" s="1640"/>
      <c r="L501" s="1625"/>
      <c r="M501" s="1640"/>
      <c r="N501" s="1640"/>
      <c r="O501" s="1743" t="str">
        <f>B501</f>
        <v>PROFESSIONAL SERVICES</v>
      </c>
      <c r="P501" s="1640"/>
      <c r="Q501" s="1640"/>
      <c r="R501" s="1625"/>
      <c r="S501" s="1640"/>
      <c r="T501" s="1640"/>
      <c r="U501" s="1625"/>
      <c r="V501" s="1739"/>
      <c r="W501" s="1625" t="str">
        <f>B501</f>
        <v>PROFESSIONAL SERVICES</v>
      </c>
      <c r="X501" s="1625"/>
    </row>
    <row r="502" spans="1:24">
      <c r="A502" s="1625"/>
      <c r="B502" s="1625" t="s">
        <v>481</v>
      </c>
      <c r="C502" s="1625"/>
      <c r="D502" s="1625"/>
      <c r="E502" s="1625"/>
      <c r="F502" s="1625"/>
      <c r="G502" s="1640">
        <f>'Part IV-A-Uses of Funds'!G66</f>
        <v>190000</v>
      </c>
      <c r="H502" s="1640">
        <f>'Part IV-A-Uses of Funds'!H66</f>
        <v>0</v>
      </c>
      <c r="I502" s="1625"/>
      <c r="J502" s="1640">
        <f>'Part IV-A-Uses of Funds'!J66</f>
        <v>190000</v>
      </c>
      <c r="K502" s="1640">
        <f>'Part IV-A-Uses of Funds'!K66</f>
        <v>0</v>
      </c>
      <c r="L502" s="1655"/>
      <c r="M502" s="1640">
        <f>'Part IV-A-Uses of Funds'!M66</f>
        <v>0</v>
      </c>
      <c r="N502" s="1640">
        <f>'Part IV-A-Uses of Funds'!N66</f>
        <v>0</v>
      </c>
      <c r="O502" s="1625"/>
      <c r="P502" s="1640">
        <f>'Part IV-A-Uses of Funds'!P66</f>
        <v>0</v>
      </c>
      <c r="Q502" s="1640">
        <f>'Part IV-A-Uses of Funds'!Q66</f>
        <v>0</v>
      </c>
      <c r="R502" s="1625"/>
      <c r="S502" s="1640">
        <f>'Part IV-A-Uses of Funds'!S66</f>
        <v>0</v>
      </c>
      <c r="T502" s="1640">
        <f>'Part IV-A-Uses of Funds'!T66</f>
        <v>0</v>
      </c>
      <c r="U502" s="1625"/>
      <c r="V502" s="1739"/>
      <c r="W502" s="1329"/>
      <c r="X502" s="1329"/>
    </row>
    <row r="503" spans="1:24">
      <c r="A503" s="1625"/>
      <c r="B503" s="1625" t="s">
        <v>482</v>
      </c>
      <c r="C503" s="1625"/>
      <c r="D503" s="1625"/>
      <c r="E503" s="1625"/>
      <c r="F503" s="1625"/>
      <c r="G503" s="1640">
        <f>'Part IV-A-Uses of Funds'!G67</f>
        <v>50000</v>
      </c>
      <c r="H503" s="1640">
        <f>'Part IV-A-Uses of Funds'!H67</f>
        <v>0</v>
      </c>
      <c r="I503" s="1625"/>
      <c r="J503" s="1640">
        <f>'Part IV-A-Uses of Funds'!J67</f>
        <v>50000</v>
      </c>
      <c r="K503" s="1640">
        <f>'Part IV-A-Uses of Funds'!K67</f>
        <v>0</v>
      </c>
      <c r="L503" s="1655"/>
      <c r="M503" s="1640">
        <f>'Part IV-A-Uses of Funds'!M67</f>
        <v>0</v>
      </c>
      <c r="N503" s="1640">
        <f>'Part IV-A-Uses of Funds'!N67</f>
        <v>0</v>
      </c>
      <c r="O503" s="1625"/>
      <c r="P503" s="1640">
        <f>'Part IV-A-Uses of Funds'!P67</f>
        <v>0</v>
      </c>
      <c r="Q503" s="1640">
        <f>'Part IV-A-Uses of Funds'!Q67</f>
        <v>0</v>
      </c>
      <c r="R503" s="1625"/>
      <c r="S503" s="1640">
        <f>'Part IV-A-Uses of Funds'!S67</f>
        <v>0</v>
      </c>
      <c r="T503" s="1640">
        <f>'Part IV-A-Uses of Funds'!T67</f>
        <v>0</v>
      </c>
      <c r="U503" s="1625"/>
      <c r="V503" s="1739"/>
      <c r="W503" s="1329"/>
      <c r="X503" s="1329"/>
    </row>
    <row r="504" spans="1:24">
      <c r="A504" s="1625"/>
      <c r="B504" s="1625" t="s">
        <v>1137</v>
      </c>
      <c r="C504" s="1625"/>
      <c r="D504" s="1636" t="s">
        <v>3877</v>
      </c>
      <c r="E504" s="1766">
        <f>'DCA Underwriting Assumptions'!R513</f>
        <v>0</v>
      </c>
      <c r="F504" s="1622" t="str">
        <f>IF(G504&gt;E504,"CHECK!!!","")</f>
        <v>CHECK!!!</v>
      </c>
      <c r="G504" s="1640">
        <f>'Part IV-A-Uses of Funds'!G68</f>
        <v>20000</v>
      </c>
      <c r="H504" s="1640">
        <f>'Part IV-A-Uses of Funds'!H68</f>
        <v>0</v>
      </c>
      <c r="I504" s="1625"/>
      <c r="J504" s="1640">
        <f>'Part IV-A-Uses of Funds'!J68</f>
        <v>20000</v>
      </c>
      <c r="K504" s="1640">
        <f>'Part IV-A-Uses of Funds'!K68</f>
        <v>0</v>
      </c>
      <c r="L504" s="1655"/>
      <c r="M504" s="1640">
        <f>'Part IV-A-Uses of Funds'!M68</f>
        <v>0</v>
      </c>
      <c r="N504" s="1640">
        <f>'Part IV-A-Uses of Funds'!N68</f>
        <v>0</v>
      </c>
      <c r="O504" s="1625"/>
      <c r="P504" s="1640">
        <f>'Part IV-A-Uses of Funds'!P68</f>
        <v>0</v>
      </c>
      <c r="Q504" s="1640">
        <f>'Part IV-A-Uses of Funds'!Q68</f>
        <v>0</v>
      </c>
      <c r="R504" s="1625"/>
      <c r="S504" s="1640">
        <f>'Part IV-A-Uses of Funds'!S68</f>
        <v>0</v>
      </c>
      <c r="T504" s="1640">
        <f>'Part IV-A-Uses of Funds'!T68</f>
        <v>0</v>
      </c>
      <c r="U504" s="1625"/>
      <c r="V504" s="1739"/>
      <c r="W504" s="1329"/>
      <c r="X504" s="1329"/>
    </row>
    <row r="505" spans="1:24">
      <c r="A505" s="1625"/>
      <c r="B505" s="1625" t="s">
        <v>1138</v>
      </c>
      <c r="C505" s="1625"/>
      <c r="D505" s="1625"/>
      <c r="E505" s="1625"/>
      <c r="F505" s="1625"/>
      <c r="G505" s="1640">
        <f>'Part IV-A-Uses of Funds'!G69</f>
        <v>5700</v>
      </c>
      <c r="H505" s="1640">
        <f>'Part IV-A-Uses of Funds'!H69</f>
        <v>0</v>
      </c>
      <c r="I505" s="1625"/>
      <c r="J505" s="1640">
        <f>'Part IV-A-Uses of Funds'!J69</f>
        <v>5700</v>
      </c>
      <c r="K505" s="1640">
        <f>'Part IV-A-Uses of Funds'!K69</f>
        <v>0</v>
      </c>
      <c r="L505" s="1655"/>
      <c r="M505" s="1640">
        <f>'Part IV-A-Uses of Funds'!M69</f>
        <v>0</v>
      </c>
      <c r="N505" s="1640">
        <f>'Part IV-A-Uses of Funds'!N69</f>
        <v>0</v>
      </c>
      <c r="O505" s="1625"/>
      <c r="P505" s="1640">
        <f>'Part IV-A-Uses of Funds'!P69</f>
        <v>0</v>
      </c>
      <c r="Q505" s="1640">
        <f>'Part IV-A-Uses of Funds'!Q69</f>
        <v>0</v>
      </c>
      <c r="R505" s="1625"/>
      <c r="S505" s="1640">
        <f>'Part IV-A-Uses of Funds'!S69</f>
        <v>0</v>
      </c>
      <c r="T505" s="1640">
        <f>'Part IV-A-Uses of Funds'!T69</f>
        <v>0</v>
      </c>
      <c r="U505" s="1625"/>
      <c r="V505" s="1739"/>
      <c r="W505" s="1329"/>
      <c r="X505" s="1329"/>
    </row>
    <row r="506" spans="1:24">
      <c r="A506" s="1625"/>
      <c r="B506" s="1625" t="s">
        <v>1139</v>
      </c>
      <c r="C506" s="1625"/>
      <c r="D506" s="1625"/>
      <c r="E506" s="1625"/>
      <c r="F506" s="1625"/>
      <c r="G506" s="1640">
        <f>'Part IV-A-Uses of Funds'!G70</f>
        <v>6300</v>
      </c>
      <c r="H506" s="1640">
        <f>'Part IV-A-Uses of Funds'!H70</f>
        <v>0</v>
      </c>
      <c r="I506" s="1625"/>
      <c r="J506" s="1640">
        <f>'Part IV-A-Uses of Funds'!J70</f>
        <v>6300</v>
      </c>
      <c r="K506" s="1640">
        <f>'Part IV-A-Uses of Funds'!K70</f>
        <v>0</v>
      </c>
      <c r="L506" s="1655"/>
      <c r="M506" s="1640">
        <f>'Part IV-A-Uses of Funds'!M70</f>
        <v>0</v>
      </c>
      <c r="N506" s="1640">
        <f>'Part IV-A-Uses of Funds'!N70</f>
        <v>0</v>
      </c>
      <c r="O506" s="1625"/>
      <c r="P506" s="1640">
        <f>'Part IV-A-Uses of Funds'!P70</f>
        <v>0</v>
      </c>
      <c r="Q506" s="1640">
        <f>'Part IV-A-Uses of Funds'!Q70</f>
        <v>0</v>
      </c>
      <c r="R506" s="1625"/>
      <c r="S506" s="1640">
        <f>'Part IV-A-Uses of Funds'!S70</f>
        <v>0</v>
      </c>
      <c r="T506" s="1640">
        <f>'Part IV-A-Uses of Funds'!T70</f>
        <v>0</v>
      </c>
      <c r="U506" s="1625"/>
      <c r="V506" s="1739"/>
      <c r="W506" s="1329"/>
      <c r="X506" s="1329"/>
    </row>
    <row r="507" spans="1:24">
      <c r="A507" s="1625"/>
      <c r="B507" s="1625" t="s">
        <v>1140</v>
      </c>
      <c r="C507" s="1625"/>
      <c r="D507" s="1625"/>
      <c r="E507" s="1625"/>
      <c r="F507" s="1625"/>
      <c r="G507" s="1640">
        <f>'Part IV-A-Uses of Funds'!G71</f>
        <v>20000</v>
      </c>
      <c r="H507" s="1640">
        <f>'Part IV-A-Uses of Funds'!H71</f>
        <v>0</v>
      </c>
      <c r="I507" s="1625"/>
      <c r="J507" s="1640">
        <f>'Part IV-A-Uses of Funds'!J71</f>
        <v>20000</v>
      </c>
      <c r="K507" s="1640">
        <f>'Part IV-A-Uses of Funds'!K71</f>
        <v>0</v>
      </c>
      <c r="L507" s="1655"/>
      <c r="M507" s="1640">
        <f>'Part IV-A-Uses of Funds'!M71</f>
        <v>0</v>
      </c>
      <c r="N507" s="1640">
        <f>'Part IV-A-Uses of Funds'!N71</f>
        <v>0</v>
      </c>
      <c r="O507" s="1625"/>
      <c r="P507" s="1640">
        <f>'Part IV-A-Uses of Funds'!P71</f>
        <v>0</v>
      </c>
      <c r="Q507" s="1640">
        <f>'Part IV-A-Uses of Funds'!Q71</f>
        <v>0</v>
      </c>
      <c r="R507" s="1625"/>
      <c r="S507" s="1640">
        <f>'Part IV-A-Uses of Funds'!S71</f>
        <v>0</v>
      </c>
      <c r="T507" s="1640">
        <f>'Part IV-A-Uses of Funds'!T71</f>
        <v>0</v>
      </c>
      <c r="U507" s="1625"/>
      <c r="V507" s="1739"/>
      <c r="W507" s="1329"/>
      <c r="X507" s="1329"/>
    </row>
    <row r="508" spans="1:24">
      <c r="A508" s="1625"/>
      <c r="B508" s="1625" t="s">
        <v>483</v>
      </c>
      <c r="C508" s="1625"/>
      <c r="D508" s="1625"/>
      <c r="E508" s="1625"/>
      <c r="F508" s="1625"/>
      <c r="G508" s="1640">
        <f>'Part IV-A-Uses of Funds'!G72</f>
        <v>70560</v>
      </c>
      <c r="H508" s="1640">
        <f>'Part IV-A-Uses of Funds'!H72</f>
        <v>0</v>
      </c>
      <c r="I508" s="1625"/>
      <c r="J508" s="1640">
        <f>'Part IV-A-Uses of Funds'!J72</f>
        <v>70560</v>
      </c>
      <c r="K508" s="1640">
        <f>'Part IV-A-Uses of Funds'!K72</f>
        <v>0</v>
      </c>
      <c r="L508" s="1655"/>
      <c r="M508" s="1640">
        <f>'Part IV-A-Uses of Funds'!M72</f>
        <v>0</v>
      </c>
      <c r="N508" s="1640">
        <f>'Part IV-A-Uses of Funds'!N72</f>
        <v>0</v>
      </c>
      <c r="O508" s="1625"/>
      <c r="P508" s="1640">
        <f>'Part IV-A-Uses of Funds'!P72</f>
        <v>0</v>
      </c>
      <c r="Q508" s="1640">
        <f>'Part IV-A-Uses of Funds'!Q72</f>
        <v>0</v>
      </c>
      <c r="R508" s="1625"/>
      <c r="S508" s="1640">
        <f>'Part IV-A-Uses of Funds'!S72</f>
        <v>0</v>
      </c>
      <c r="T508" s="1640">
        <f>'Part IV-A-Uses of Funds'!T72</f>
        <v>0</v>
      </c>
      <c r="U508" s="1625"/>
      <c r="V508" s="1739"/>
      <c r="W508" s="1329"/>
      <c r="X508" s="1329"/>
    </row>
    <row r="509" spans="1:24">
      <c r="A509" s="1625"/>
      <c r="B509" s="1625" t="s">
        <v>484</v>
      </c>
      <c r="C509" s="1625"/>
      <c r="D509" s="1625"/>
      <c r="E509" s="1625"/>
      <c r="F509" s="1625"/>
      <c r="G509" s="1640">
        <f>'Part IV-A-Uses of Funds'!G73</f>
        <v>71960</v>
      </c>
      <c r="H509" s="1640">
        <f>'Part IV-A-Uses of Funds'!H73</f>
        <v>0</v>
      </c>
      <c r="I509" s="1625"/>
      <c r="J509" s="1640">
        <f>'Part IV-A-Uses of Funds'!J73</f>
        <v>71960</v>
      </c>
      <c r="K509" s="1640">
        <f>'Part IV-A-Uses of Funds'!K73</f>
        <v>0</v>
      </c>
      <c r="L509" s="1655"/>
      <c r="M509" s="1640">
        <f>'Part IV-A-Uses of Funds'!M73</f>
        <v>0</v>
      </c>
      <c r="N509" s="1640">
        <f>'Part IV-A-Uses of Funds'!N73</f>
        <v>0</v>
      </c>
      <c r="O509" s="1625"/>
      <c r="P509" s="1640">
        <f>'Part IV-A-Uses of Funds'!P73</f>
        <v>0</v>
      </c>
      <c r="Q509" s="1640">
        <f>'Part IV-A-Uses of Funds'!Q73</f>
        <v>0</v>
      </c>
      <c r="R509" s="1625"/>
      <c r="S509" s="1640">
        <f>'Part IV-A-Uses of Funds'!S73</f>
        <v>48000</v>
      </c>
      <c r="T509" s="1640">
        <f>'Part IV-A-Uses of Funds'!T73</f>
        <v>0</v>
      </c>
      <c r="U509" s="1625"/>
      <c r="V509" s="1739"/>
      <c r="W509" s="1329"/>
      <c r="X509" s="1329"/>
    </row>
    <row r="510" spans="1:24">
      <c r="A510" s="1625"/>
      <c r="B510" s="1625" t="s">
        <v>2065</v>
      </c>
      <c r="C510" s="1625"/>
      <c r="D510" s="1625"/>
      <c r="E510" s="1625"/>
      <c r="F510" s="1625"/>
      <c r="G510" s="1640">
        <f>'Part IV-A-Uses of Funds'!G74</f>
        <v>25000</v>
      </c>
      <c r="H510" s="1640">
        <f>'Part IV-A-Uses of Funds'!H74</f>
        <v>0</v>
      </c>
      <c r="I510" s="1625"/>
      <c r="J510" s="1640">
        <f>'Part IV-A-Uses of Funds'!J74</f>
        <v>25000</v>
      </c>
      <c r="K510" s="1640">
        <f>'Part IV-A-Uses of Funds'!K74</f>
        <v>0</v>
      </c>
      <c r="L510" s="1655"/>
      <c r="M510" s="1640">
        <f>'Part IV-A-Uses of Funds'!M74</f>
        <v>0</v>
      </c>
      <c r="N510" s="1640">
        <f>'Part IV-A-Uses of Funds'!N74</f>
        <v>0</v>
      </c>
      <c r="O510" s="1625"/>
      <c r="P510" s="1640">
        <f>'Part IV-A-Uses of Funds'!P74</f>
        <v>0</v>
      </c>
      <c r="Q510" s="1640">
        <f>'Part IV-A-Uses of Funds'!Q74</f>
        <v>0</v>
      </c>
      <c r="R510" s="1625"/>
      <c r="S510" s="1640">
        <f>'Part IV-A-Uses of Funds'!S74</f>
        <v>0</v>
      </c>
      <c r="T510" s="1640">
        <f>'Part IV-A-Uses of Funds'!T74</f>
        <v>0</v>
      </c>
      <c r="U510" s="1625"/>
      <c r="V510" s="1739"/>
      <c r="W510" s="1329"/>
      <c r="X510" s="1329"/>
    </row>
    <row r="511" spans="1:24">
      <c r="A511" s="1625"/>
      <c r="B511" s="1625" t="s">
        <v>1289</v>
      </c>
      <c r="C511" s="1625"/>
      <c r="D511" s="1625"/>
      <c r="E511" s="1625"/>
      <c r="F511" s="1625"/>
      <c r="G511" s="1640">
        <f>'Part IV-A-Uses of Funds'!G75</f>
        <v>5000</v>
      </c>
      <c r="H511" s="1640">
        <f>'Part IV-A-Uses of Funds'!H75</f>
        <v>0</v>
      </c>
      <c r="I511" s="1625"/>
      <c r="J511" s="1640">
        <f>'Part IV-A-Uses of Funds'!J75</f>
        <v>5000</v>
      </c>
      <c r="K511" s="1640">
        <f>'Part IV-A-Uses of Funds'!K75</f>
        <v>0</v>
      </c>
      <c r="L511" s="1655"/>
      <c r="M511" s="1640">
        <f>'Part IV-A-Uses of Funds'!M75</f>
        <v>0</v>
      </c>
      <c r="N511" s="1640">
        <f>'Part IV-A-Uses of Funds'!N75</f>
        <v>0</v>
      </c>
      <c r="O511" s="1625"/>
      <c r="P511" s="1640">
        <f>'Part IV-A-Uses of Funds'!P75</f>
        <v>0</v>
      </c>
      <c r="Q511" s="1640">
        <f>'Part IV-A-Uses of Funds'!Q75</f>
        <v>0</v>
      </c>
      <c r="R511" s="1625"/>
      <c r="S511" s="1640">
        <f>'Part IV-A-Uses of Funds'!S75</f>
        <v>0</v>
      </c>
      <c r="T511" s="1640">
        <f>'Part IV-A-Uses of Funds'!T75</f>
        <v>0</v>
      </c>
      <c r="U511" s="1625"/>
      <c r="V511" s="1739"/>
      <c r="W511" s="1329"/>
      <c r="X511" s="1329"/>
    </row>
    <row r="512" spans="1:24" ht="16.5" customHeight="1">
      <c r="A512" s="1740" t="str">
        <f>IF(AND(G512&gt;0,OR(C512="",C512="&lt;Enter detailed description here; use Comments section if needed&gt;")),"X","")</f>
        <v/>
      </c>
      <c r="B512" s="1625" t="s">
        <v>749</v>
      </c>
      <c r="C512" s="1643" t="str">
        <f>'Part IV-A-Uses of Funds'!C76</f>
        <v>&lt;&lt; Enter description here; provide detail &amp; justification in tab Part IV-b &gt;&gt;</v>
      </c>
      <c r="D512" s="1643">
        <f>'Part IV-A-Uses of Funds'!D76</f>
        <v>0</v>
      </c>
      <c r="E512" s="1643">
        <f>'Part IV-A-Uses of Funds'!E76</f>
        <v>0</v>
      </c>
      <c r="F512" s="1643">
        <f>'Part IV-A-Uses of Funds'!F76</f>
        <v>0</v>
      </c>
      <c r="G512" s="1640">
        <f>'Part IV-A-Uses of Funds'!G76</f>
        <v>0</v>
      </c>
      <c r="H512" s="1640">
        <f>'Part IV-A-Uses of Funds'!H76</f>
        <v>0</v>
      </c>
      <c r="I512" s="1625"/>
      <c r="J512" s="1640">
        <f>'Part IV-A-Uses of Funds'!J76</f>
        <v>0</v>
      </c>
      <c r="K512" s="1640">
        <f>'Part IV-A-Uses of Funds'!K76</f>
        <v>0</v>
      </c>
      <c r="L512" s="1655"/>
      <c r="M512" s="1640">
        <f>'Part IV-A-Uses of Funds'!M76</f>
        <v>0</v>
      </c>
      <c r="N512" s="1640">
        <f>'Part IV-A-Uses of Funds'!N76</f>
        <v>0</v>
      </c>
      <c r="O512" s="1625"/>
      <c r="P512" s="1640">
        <f>'Part IV-A-Uses of Funds'!P76</f>
        <v>0</v>
      </c>
      <c r="Q512" s="1640">
        <f>'Part IV-A-Uses of Funds'!Q76</f>
        <v>0</v>
      </c>
      <c r="R512" s="1625"/>
      <c r="S512" s="1640">
        <f>'Part IV-A-Uses of Funds'!S76</f>
        <v>0</v>
      </c>
      <c r="T512" s="1640">
        <f>'Part IV-A-Uses of Funds'!T76</f>
        <v>0</v>
      </c>
      <c r="U512" s="1626" t="str">
        <f>IF(AND(G512&gt;0,OR(C512="",C512="&lt;Enter detailed description here; use Comments section if needed&gt;")),"NO DESCRIPTION PROVIDED - please enter detailed description in Other box at left; use Comments section below if needed.","")</f>
        <v/>
      </c>
      <c r="V512" s="1739"/>
      <c r="W512" s="1329"/>
      <c r="X512" s="1329"/>
    </row>
    <row r="513" spans="1:24">
      <c r="A513" s="1625"/>
      <c r="B513" s="1625"/>
      <c r="C513" s="1625"/>
      <c r="D513" s="1625"/>
      <c r="E513" s="1625"/>
      <c r="F513" s="1742" t="s">
        <v>193</v>
      </c>
      <c r="G513" s="1640">
        <f>SUM(G502:H512)</f>
        <v>464520</v>
      </c>
      <c r="H513" s="1640"/>
      <c r="I513" s="1625"/>
      <c r="J513" s="1640">
        <f>SUM(J502:K512)</f>
        <v>464520</v>
      </c>
      <c r="K513" s="1640"/>
      <c r="L513" s="1655"/>
      <c r="M513" s="1640">
        <f>SUM(M502:N512)</f>
        <v>0</v>
      </c>
      <c r="N513" s="1640"/>
      <c r="O513" s="1625"/>
      <c r="P513" s="1640">
        <f>SUM(P502:Q512)</f>
        <v>0</v>
      </c>
      <c r="Q513" s="1640"/>
      <c r="R513" s="1625"/>
      <c r="S513" s="1640">
        <f>SUM(S502:T512)</f>
        <v>48000</v>
      </c>
      <c r="T513" s="1640"/>
      <c r="U513" s="1625"/>
      <c r="V513" s="1739">
        <f>SUM(V502:V512)</f>
        <v>0</v>
      </c>
      <c r="W513" s="1329"/>
      <c r="X513" s="1329"/>
    </row>
    <row r="514" spans="1:24">
      <c r="A514" s="1625"/>
      <c r="B514" s="1622" t="s">
        <v>1281</v>
      </c>
      <c r="C514" s="1625"/>
      <c r="D514" s="1767" t="s">
        <v>3762</v>
      </c>
      <c r="E514" s="1768">
        <f>G519/'Part VI-Revenues &amp; Expenses'!$O$62</f>
        <v>1747.6923076923076</v>
      </c>
      <c r="F514" s="1625"/>
      <c r="G514" s="1625"/>
      <c r="H514" s="1625"/>
      <c r="I514" s="1625"/>
      <c r="J514" s="1655"/>
      <c r="K514" s="1655"/>
      <c r="L514" s="1632"/>
      <c r="M514" s="1655"/>
      <c r="N514" s="1655"/>
      <c r="O514" s="1743" t="str">
        <f>B514</f>
        <v>LOCAL GOVERNMENT FEES</v>
      </c>
      <c r="P514" s="1655"/>
      <c r="Q514" s="1655"/>
      <c r="R514" s="1632"/>
      <c r="S514" s="1655"/>
      <c r="T514" s="1655"/>
      <c r="U514" s="1632"/>
      <c r="V514" s="1739"/>
      <c r="W514" s="1625" t="str">
        <f>B514</f>
        <v>LOCAL GOVERNMENT FEES</v>
      </c>
      <c r="X514" s="1632"/>
    </row>
    <row r="515" spans="1:24">
      <c r="A515" s="1625"/>
      <c r="B515" s="1625" t="s">
        <v>1282</v>
      </c>
      <c r="C515" s="1625"/>
      <c r="D515" s="1625"/>
      <c r="E515" s="1625"/>
      <c r="F515" s="1625"/>
      <c r="G515" s="1640">
        <f>'Part IV-A-Uses of Funds'!G79</f>
        <v>30000</v>
      </c>
      <c r="H515" s="1640">
        <f>'Part IV-A-Uses of Funds'!H79</f>
        <v>0</v>
      </c>
      <c r="I515" s="1625"/>
      <c r="J515" s="1640">
        <f>'Part IV-A-Uses of Funds'!J79</f>
        <v>30000</v>
      </c>
      <c r="K515" s="1640">
        <f>'Part IV-A-Uses of Funds'!K79</f>
        <v>0</v>
      </c>
      <c r="L515" s="1655"/>
      <c r="M515" s="1640">
        <f>'Part IV-A-Uses of Funds'!M79</f>
        <v>0</v>
      </c>
      <c r="N515" s="1640">
        <f>'Part IV-A-Uses of Funds'!N79</f>
        <v>0</v>
      </c>
      <c r="O515" s="1625"/>
      <c r="P515" s="1640">
        <f>'Part IV-A-Uses of Funds'!P79</f>
        <v>0</v>
      </c>
      <c r="Q515" s="1640">
        <f>'Part IV-A-Uses of Funds'!Q79</f>
        <v>0</v>
      </c>
      <c r="R515" s="1625"/>
      <c r="S515" s="1640">
        <f>'Part IV-A-Uses of Funds'!S79</f>
        <v>0</v>
      </c>
      <c r="T515" s="1640">
        <f>'Part IV-A-Uses of Funds'!T79</f>
        <v>0</v>
      </c>
      <c r="U515" s="1625"/>
      <c r="V515" s="1739"/>
      <c r="W515" s="1329"/>
      <c r="X515" s="1329"/>
    </row>
    <row r="516" spans="1:24">
      <c r="A516" s="1625"/>
      <c r="B516" s="1625" t="s">
        <v>1283</v>
      </c>
      <c r="C516" s="1625"/>
      <c r="D516" s="1625"/>
      <c r="E516" s="1625"/>
      <c r="F516" s="1625"/>
      <c r="G516" s="1640">
        <f>'Part IV-A-Uses of Funds'!G80</f>
        <v>0</v>
      </c>
      <c r="H516" s="1640">
        <f>'Part IV-A-Uses of Funds'!H80</f>
        <v>0</v>
      </c>
      <c r="I516" s="1625"/>
      <c r="J516" s="1640">
        <f>'Part IV-A-Uses of Funds'!J80</f>
        <v>0</v>
      </c>
      <c r="K516" s="1640">
        <f>'Part IV-A-Uses of Funds'!K80</f>
        <v>0</v>
      </c>
      <c r="L516" s="1655"/>
      <c r="M516" s="1640">
        <f>'Part IV-A-Uses of Funds'!M80</f>
        <v>0</v>
      </c>
      <c r="N516" s="1640">
        <f>'Part IV-A-Uses of Funds'!N80</f>
        <v>0</v>
      </c>
      <c r="O516" s="1625"/>
      <c r="P516" s="1640">
        <f>'Part IV-A-Uses of Funds'!P80</f>
        <v>0</v>
      </c>
      <c r="Q516" s="1640">
        <f>'Part IV-A-Uses of Funds'!Q80</f>
        <v>0</v>
      </c>
      <c r="R516" s="1625"/>
      <c r="S516" s="1640">
        <f>'Part IV-A-Uses of Funds'!S80</f>
        <v>0</v>
      </c>
      <c r="T516" s="1640">
        <f>'Part IV-A-Uses of Funds'!T80</f>
        <v>0</v>
      </c>
      <c r="U516" s="1625"/>
      <c r="V516" s="1739"/>
      <c r="W516" s="1329"/>
      <c r="X516" s="1329"/>
    </row>
    <row r="517" spans="1:24">
      <c r="A517" s="1625"/>
      <c r="B517" s="1625" t="s">
        <v>1284</v>
      </c>
      <c r="C517" s="1625"/>
      <c r="D517" s="1769" t="s">
        <v>1415</v>
      </c>
      <c r="E517" s="1770" t="str">
        <f>'Part IV-A-Uses of Funds'!E81</f>
        <v>No</v>
      </c>
      <c r="F517" s="1625"/>
      <c r="G517" s="1640">
        <f>'Part IV-A-Uses of Funds'!G81</f>
        <v>45600</v>
      </c>
      <c r="H517" s="1640">
        <f>'Part IV-A-Uses of Funds'!H81</f>
        <v>0</v>
      </c>
      <c r="I517" s="1632"/>
      <c r="J517" s="1640">
        <f>'Part IV-A-Uses of Funds'!J81</f>
        <v>45600</v>
      </c>
      <c r="K517" s="1640">
        <f>'Part IV-A-Uses of Funds'!K81</f>
        <v>0</v>
      </c>
      <c r="L517" s="1655"/>
      <c r="M517" s="1640">
        <f>'Part IV-A-Uses of Funds'!M81</f>
        <v>0</v>
      </c>
      <c r="N517" s="1640">
        <f>'Part IV-A-Uses of Funds'!N81</f>
        <v>0</v>
      </c>
      <c r="O517" s="1625"/>
      <c r="P517" s="1640">
        <f>'Part IV-A-Uses of Funds'!P81</f>
        <v>0</v>
      </c>
      <c r="Q517" s="1640">
        <f>'Part IV-A-Uses of Funds'!Q81</f>
        <v>0</v>
      </c>
      <c r="R517" s="1625"/>
      <c r="S517" s="1640">
        <f>'Part IV-A-Uses of Funds'!S81</f>
        <v>0</v>
      </c>
      <c r="T517" s="1640">
        <f>'Part IV-A-Uses of Funds'!T81</f>
        <v>0</v>
      </c>
      <c r="U517" s="1625"/>
      <c r="V517" s="1739"/>
      <c r="W517" s="1329"/>
      <c r="X517" s="1329"/>
    </row>
    <row r="518" spans="1:24">
      <c r="A518" s="1625"/>
      <c r="B518" s="1625" t="s">
        <v>1285</v>
      </c>
      <c r="C518" s="1625"/>
      <c r="D518" s="1769" t="s">
        <v>1415</v>
      </c>
      <c r="E518" s="1770" t="str">
        <f>'Part IV-A-Uses of Funds'!E82</f>
        <v>No</v>
      </c>
      <c r="F518" s="1625"/>
      <c r="G518" s="1640">
        <f>'Part IV-A-Uses of Funds'!G82</f>
        <v>38000</v>
      </c>
      <c r="H518" s="1640">
        <f>'Part IV-A-Uses of Funds'!H82</f>
        <v>0</v>
      </c>
      <c r="I518" s="1632"/>
      <c r="J518" s="1640">
        <f>'Part IV-A-Uses of Funds'!J82</f>
        <v>38000</v>
      </c>
      <c r="K518" s="1640">
        <f>'Part IV-A-Uses of Funds'!K82</f>
        <v>0</v>
      </c>
      <c r="L518" s="1655"/>
      <c r="M518" s="1640">
        <f>'Part IV-A-Uses of Funds'!M82</f>
        <v>0</v>
      </c>
      <c r="N518" s="1640">
        <f>'Part IV-A-Uses of Funds'!N82</f>
        <v>0</v>
      </c>
      <c r="O518" s="1625"/>
      <c r="P518" s="1640">
        <f>'Part IV-A-Uses of Funds'!P82</f>
        <v>0</v>
      </c>
      <c r="Q518" s="1640">
        <f>'Part IV-A-Uses of Funds'!Q82</f>
        <v>0</v>
      </c>
      <c r="R518" s="1625"/>
      <c r="S518" s="1640">
        <f>'Part IV-A-Uses of Funds'!S82</f>
        <v>0</v>
      </c>
      <c r="T518" s="1640">
        <f>'Part IV-A-Uses of Funds'!T82</f>
        <v>0</v>
      </c>
      <c r="U518" s="1625"/>
      <c r="V518" s="1739"/>
      <c r="W518" s="1329"/>
      <c r="X518" s="1329"/>
    </row>
    <row r="519" spans="1:24">
      <c r="A519" s="1625"/>
      <c r="B519" s="1625"/>
      <c r="C519" s="1625"/>
      <c r="D519" s="1625"/>
      <c r="E519" s="1625"/>
      <c r="F519" s="1742" t="s">
        <v>193</v>
      </c>
      <c r="G519" s="1640">
        <f>SUM(G515:H518)</f>
        <v>113600</v>
      </c>
      <c r="H519" s="1640"/>
      <c r="I519" s="1625"/>
      <c r="J519" s="1640">
        <f>SUM(J515:K518)</f>
        <v>113600</v>
      </c>
      <c r="K519" s="1640"/>
      <c r="L519" s="1655"/>
      <c r="M519" s="1640">
        <f>SUM(M515:N518)</f>
        <v>0</v>
      </c>
      <c r="N519" s="1640"/>
      <c r="O519" s="1625"/>
      <c r="P519" s="1640">
        <f>SUM(P515:Q518)</f>
        <v>0</v>
      </c>
      <c r="Q519" s="1640"/>
      <c r="R519" s="1625"/>
      <c r="S519" s="1640">
        <f>SUM(S515:T518)</f>
        <v>0</v>
      </c>
      <c r="T519" s="1640"/>
      <c r="U519" s="1625"/>
      <c r="V519" s="1739">
        <f>SUM(V515:V518)</f>
        <v>0</v>
      </c>
      <c r="W519" s="1329"/>
      <c r="X519" s="1329"/>
    </row>
    <row r="520" spans="1:24">
      <c r="A520" s="1625"/>
      <c r="B520" s="1622" t="s">
        <v>732</v>
      </c>
      <c r="C520" s="1625"/>
      <c r="D520" s="1625"/>
      <c r="E520" s="1625"/>
      <c r="F520" s="1625"/>
      <c r="G520" s="1625"/>
      <c r="H520" s="1625"/>
      <c r="I520" s="1625"/>
      <c r="J520" s="1655"/>
      <c r="K520" s="1655"/>
      <c r="L520" s="1625"/>
      <c r="M520" s="1655"/>
      <c r="N520" s="1655"/>
      <c r="O520" s="1743" t="str">
        <f>B520</f>
        <v>PERMANENT FINANCING FEES</v>
      </c>
      <c r="P520" s="1655"/>
      <c r="Q520" s="1655"/>
      <c r="R520" s="1625"/>
      <c r="S520" s="1655"/>
      <c r="T520" s="1655"/>
      <c r="U520" s="1625"/>
      <c r="V520" s="1739"/>
      <c r="W520" s="1625" t="str">
        <f>B520</f>
        <v>PERMANENT FINANCING FEES</v>
      </c>
      <c r="X520" s="1625"/>
    </row>
    <row r="521" spans="1:24">
      <c r="A521" s="1625"/>
      <c r="B521" s="1625" t="s">
        <v>1286</v>
      </c>
      <c r="C521" s="1625"/>
      <c r="D521" s="1625"/>
      <c r="E521" s="1625"/>
      <c r="F521" s="1625"/>
      <c r="G521" s="1640">
        <f>'Part IV-A-Uses of Funds'!G85</f>
        <v>0</v>
      </c>
      <c r="H521" s="1640">
        <f>'Part IV-A-Uses of Funds'!H85</f>
        <v>0</v>
      </c>
      <c r="I521" s="1625"/>
      <c r="J521" s="1640"/>
      <c r="K521" s="1640"/>
      <c r="L521" s="1655"/>
      <c r="M521" s="1640"/>
      <c r="N521" s="1640"/>
      <c r="O521" s="1625"/>
      <c r="P521" s="1640"/>
      <c r="Q521" s="1640"/>
      <c r="R521" s="1625"/>
      <c r="S521" s="1640">
        <f>'Part IV-A-Uses of Funds'!S85</f>
        <v>0</v>
      </c>
      <c r="T521" s="1640">
        <f>'Part IV-A-Uses of Funds'!T85</f>
        <v>0</v>
      </c>
      <c r="U521" s="1625"/>
      <c r="V521" s="1739"/>
      <c r="W521" s="1329"/>
      <c r="X521" s="1329"/>
    </row>
    <row r="522" spans="1:24">
      <c r="A522" s="1625"/>
      <c r="B522" s="1625" t="s">
        <v>1287</v>
      </c>
      <c r="C522" s="1625"/>
      <c r="D522" s="1625"/>
      <c r="E522" s="1625"/>
      <c r="F522" s="1625"/>
      <c r="G522" s="1640">
        <f>'Part IV-A-Uses of Funds'!G86</f>
        <v>30000</v>
      </c>
      <c r="H522" s="1640">
        <f>'Part IV-A-Uses of Funds'!H86</f>
        <v>0</v>
      </c>
      <c r="I522" s="1625"/>
      <c r="J522" s="1640"/>
      <c r="K522" s="1640"/>
      <c r="L522" s="1655"/>
      <c r="M522" s="1640"/>
      <c r="N522" s="1640"/>
      <c r="O522" s="1625"/>
      <c r="P522" s="1640"/>
      <c r="Q522" s="1640"/>
      <c r="R522" s="1625"/>
      <c r="S522" s="1640">
        <f>'Part IV-A-Uses of Funds'!S86</f>
        <v>30000</v>
      </c>
      <c r="T522" s="1640">
        <f>'Part IV-A-Uses of Funds'!T86</f>
        <v>0</v>
      </c>
      <c r="U522" s="1625"/>
      <c r="V522" s="1739"/>
      <c r="W522" s="1329"/>
      <c r="X522" s="1329"/>
    </row>
    <row r="523" spans="1:24">
      <c r="A523" s="1625"/>
      <c r="B523" s="1625" t="s">
        <v>1288</v>
      </c>
      <c r="C523" s="1625"/>
      <c r="D523" s="1625"/>
      <c r="E523" s="1625"/>
      <c r="F523" s="1625"/>
      <c r="G523" s="1640">
        <f>'Part IV-A-Uses of Funds'!G87</f>
        <v>5000</v>
      </c>
      <c r="H523" s="1640">
        <f>'Part IV-A-Uses of Funds'!H87</f>
        <v>0</v>
      </c>
      <c r="I523" s="1625"/>
      <c r="J523" s="1640"/>
      <c r="K523" s="1640"/>
      <c r="L523" s="1655"/>
      <c r="M523" s="1640"/>
      <c r="N523" s="1640"/>
      <c r="O523" s="1625"/>
      <c r="P523" s="1640"/>
      <c r="Q523" s="1640"/>
      <c r="R523" s="1625"/>
      <c r="S523" s="1640">
        <f>'Part IV-A-Uses of Funds'!S87</f>
        <v>5000</v>
      </c>
      <c r="T523" s="1640">
        <f>'Part IV-A-Uses of Funds'!T87</f>
        <v>0</v>
      </c>
      <c r="U523" s="1625"/>
      <c r="V523" s="1739"/>
      <c r="W523" s="1329"/>
      <c r="X523" s="1329"/>
    </row>
    <row r="524" spans="1:24">
      <c r="A524" s="1625"/>
      <c r="B524" s="1625" t="s">
        <v>1290</v>
      </c>
      <c r="C524" s="1625"/>
      <c r="D524" s="1625"/>
      <c r="E524" s="1625"/>
      <c r="F524" s="1625"/>
      <c r="G524" s="1640">
        <f>'Part IV-A-Uses of Funds'!G88</f>
        <v>0</v>
      </c>
      <c r="H524" s="1640">
        <f>'Part IV-A-Uses of Funds'!H88</f>
        <v>0</v>
      </c>
      <c r="I524" s="1625"/>
      <c r="J524" s="1640"/>
      <c r="K524" s="1640"/>
      <c r="L524" s="1655"/>
      <c r="M524" s="1640"/>
      <c r="N524" s="1640"/>
      <c r="O524" s="1625"/>
      <c r="P524" s="1640"/>
      <c r="Q524" s="1640"/>
      <c r="R524" s="1625"/>
      <c r="S524" s="1640">
        <f>'Part IV-A-Uses of Funds'!S88</f>
        <v>0</v>
      </c>
      <c r="T524" s="1640">
        <f>'Part IV-A-Uses of Funds'!T88</f>
        <v>0</v>
      </c>
      <c r="U524" s="1625"/>
      <c r="V524" s="1739"/>
      <c r="W524" s="1329"/>
      <c r="X524" s="1329"/>
    </row>
    <row r="525" spans="1:24">
      <c r="A525" s="1625"/>
      <c r="B525" s="1625" t="s">
        <v>2314</v>
      </c>
      <c r="C525" s="1625"/>
      <c r="D525" s="1625"/>
      <c r="E525" s="1625"/>
      <c r="F525" s="1625"/>
      <c r="G525" s="1640">
        <f>'Part IV-A-Uses of Funds'!G89</f>
        <v>0</v>
      </c>
      <c r="H525" s="1640">
        <f>'Part IV-A-Uses of Funds'!H89</f>
        <v>0</v>
      </c>
      <c r="I525" s="1625"/>
      <c r="J525" s="1640"/>
      <c r="K525" s="1640"/>
      <c r="L525" s="1655"/>
      <c r="M525" s="1640"/>
      <c r="N525" s="1640"/>
      <c r="O525" s="1625"/>
      <c r="P525" s="1640"/>
      <c r="Q525" s="1640"/>
      <c r="R525" s="1625"/>
      <c r="S525" s="1640">
        <f>'Part IV-A-Uses of Funds'!S89</f>
        <v>0</v>
      </c>
      <c r="T525" s="1640">
        <f>'Part IV-A-Uses of Funds'!T89</f>
        <v>0</v>
      </c>
      <c r="U525" s="1625"/>
      <c r="V525" s="1739"/>
      <c r="W525" s="1329"/>
      <c r="X525" s="1329"/>
    </row>
    <row r="526" spans="1:24" ht="16.5" customHeight="1">
      <c r="A526" s="1740" t="str">
        <f>IF(AND(G526&gt;0,OR(C526="",C526="&lt;Enter detailed description here; use Comments section if needed&gt;")),"X","")</f>
        <v/>
      </c>
      <c r="B526" s="1625" t="s">
        <v>749</v>
      </c>
      <c r="C526" s="1643" t="str">
        <f>'Part IV-A-Uses of Funds'!C90</f>
        <v>&lt;&lt; Enter description here; provide detail &amp; justification in tab Part IV-b &gt;&gt;</v>
      </c>
      <c r="D526" s="1643">
        <f>'Part IV-A-Uses of Funds'!D90</f>
        <v>0</v>
      </c>
      <c r="E526" s="1643">
        <f>'Part IV-A-Uses of Funds'!E90</f>
        <v>0</v>
      </c>
      <c r="F526" s="1643">
        <f>'Part IV-A-Uses of Funds'!F90</f>
        <v>0</v>
      </c>
      <c r="G526" s="1640">
        <f>'Part IV-A-Uses of Funds'!G90</f>
        <v>0</v>
      </c>
      <c r="H526" s="1640">
        <f>'Part IV-A-Uses of Funds'!H90</f>
        <v>0</v>
      </c>
      <c r="I526" s="1625"/>
      <c r="J526" s="1640"/>
      <c r="K526" s="1640"/>
      <c r="L526" s="1655"/>
      <c r="M526" s="1640"/>
      <c r="N526" s="1640"/>
      <c r="O526" s="1625"/>
      <c r="P526" s="1640"/>
      <c r="Q526" s="1640"/>
      <c r="R526" s="1625"/>
      <c r="S526" s="1640">
        <f>'Part IV-A-Uses of Funds'!S90</f>
        <v>0</v>
      </c>
      <c r="T526" s="1640">
        <f>'Part IV-A-Uses of Funds'!T90</f>
        <v>0</v>
      </c>
      <c r="U526" s="1626" t="str">
        <f>IF(AND(G526&gt;0,OR(C526="",C526="&lt;Enter detailed description here; use Comments section if needed&gt;")),"NO DESCRIPTION PROVIDED - please enter detailed description in Other box at left; use Comments section below if needed.","")</f>
        <v/>
      </c>
      <c r="V526" s="1739"/>
      <c r="W526" s="1329"/>
      <c r="X526" s="1329"/>
    </row>
    <row r="527" spans="1:24">
      <c r="A527" s="1625"/>
      <c r="B527" s="1625"/>
      <c r="C527" s="1625"/>
      <c r="D527" s="1625"/>
      <c r="E527" s="1625"/>
      <c r="F527" s="1742" t="s">
        <v>193</v>
      </c>
      <c r="G527" s="1640">
        <f>SUM(G521:H526)</f>
        <v>35000</v>
      </c>
      <c r="H527" s="1640"/>
      <c r="I527" s="1625"/>
      <c r="J527" s="1640"/>
      <c r="K527" s="1640"/>
      <c r="L527" s="1655"/>
      <c r="M527" s="1640"/>
      <c r="N527" s="1640"/>
      <c r="O527" s="1625"/>
      <c r="P527" s="1640"/>
      <c r="Q527" s="1640"/>
      <c r="R527" s="1625"/>
      <c r="S527" s="1640">
        <f>SUM(S521:T526)</f>
        <v>35000</v>
      </c>
      <c r="T527" s="1640"/>
      <c r="U527" s="1625"/>
      <c r="V527" s="1739">
        <f>SUM(V521:V526)</f>
        <v>0</v>
      </c>
      <c r="W527" s="1329"/>
      <c r="X527" s="1329"/>
    </row>
    <row r="528" spans="1:24">
      <c r="A528" s="1623"/>
      <c r="B528" s="1623"/>
      <c r="C528" s="1623"/>
      <c r="D528" s="1623"/>
      <c r="E528" s="1623"/>
      <c r="F528" s="1623"/>
      <c r="G528" s="1623"/>
      <c r="H528" s="1623"/>
      <c r="I528" s="1623"/>
      <c r="J528" s="1623"/>
      <c r="K528" s="1623"/>
      <c r="L528" s="1623"/>
      <c r="M528" s="1623"/>
      <c r="N528" s="1623"/>
      <c r="O528" s="1623"/>
      <c r="P528" s="1623"/>
      <c r="Q528" s="1623"/>
      <c r="R528" s="1623"/>
      <c r="S528" s="1623"/>
      <c r="T528" s="1623"/>
      <c r="U528" s="1625"/>
      <c r="V528" s="1739"/>
      <c r="W528" s="1625"/>
      <c r="X528" s="1625"/>
    </row>
    <row r="529" spans="1:24" ht="17.25" customHeight="1">
      <c r="A529" s="1736" t="s">
        <v>622</v>
      </c>
      <c r="B529" s="1736" t="s">
        <v>4764</v>
      </c>
      <c r="C529" s="1625"/>
      <c r="D529" s="1625"/>
      <c r="E529" s="1625"/>
      <c r="F529" s="1625"/>
      <c r="G529" s="1625"/>
      <c r="H529" s="1625"/>
      <c r="I529" s="1625"/>
      <c r="J529" s="1624" t="s">
        <v>273</v>
      </c>
      <c r="K529" s="1624"/>
      <c r="L529" s="1640"/>
      <c r="M529" s="1737" t="s">
        <v>494</v>
      </c>
      <c r="N529" s="1737"/>
      <c r="O529" s="1625"/>
      <c r="P529" s="1624" t="s">
        <v>274</v>
      </c>
      <c r="Q529" s="1624"/>
      <c r="R529" s="1625"/>
      <c r="S529" s="1624" t="s">
        <v>275</v>
      </c>
      <c r="T529" s="1624"/>
      <c r="U529" s="1625"/>
      <c r="V529" s="1738" t="str">
        <f>B529</f>
        <v>DEVELOPMENT BUDGET  (cont'd)</v>
      </c>
      <c r="W529" s="1625"/>
      <c r="X529" s="1625"/>
    </row>
    <row r="530" spans="1:24">
      <c r="A530" s="1625"/>
      <c r="B530" s="1625"/>
      <c r="C530" s="1625"/>
      <c r="D530" s="1625"/>
      <c r="E530" s="1625"/>
      <c r="F530" s="1625"/>
      <c r="G530" s="1622" t="s">
        <v>102</v>
      </c>
      <c r="H530" s="1622"/>
      <c r="I530" s="1625"/>
      <c r="J530" s="1624"/>
      <c r="K530" s="1624"/>
      <c r="L530" s="1640"/>
      <c r="M530" s="1737"/>
      <c r="N530" s="1737"/>
      <c r="O530" s="1625"/>
      <c r="P530" s="1624"/>
      <c r="Q530" s="1624"/>
      <c r="R530" s="1625"/>
      <c r="S530" s="1624"/>
      <c r="T530" s="1624"/>
      <c r="U530" s="1625"/>
      <c r="V530" s="1675" t="s">
        <v>2700</v>
      </c>
      <c r="W530" s="1625"/>
      <c r="X530" s="1675"/>
    </row>
    <row r="531" spans="1:24">
      <c r="A531" s="1625"/>
      <c r="B531" s="1622" t="s">
        <v>733</v>
      </c>
      <c r="C531" s="1625"/>
      <c r="D531" s="1625"/>
      <c r="E531" s="1625"/>
      <c r="F531" s="1625"/>
      <c r="G531" s="1625"/>
      <c r="H531" s="1625"/>
      <c r="I531" s="1625"/>
      <c r="J531" s="1655"/>
      <c r="K531" s="1655"/>
      <c r="L531" s="1625"/>
      <c r="M531" s="1655"/>
      <c r="N531" s="1655"/>
      <c r="O531" s="1743" t="str">
        <f>B531</f>
        <v>DCA-RELATED COSTS</v>
      </c>
      <c r="P531" s="1655"/>
      <c r="Q531" s="1655"/>
      <c r="R531" s="1625"/>
      <c r="S531" s="1655"/>
      <c r="T531" s="1655"/>
      <c r="U531" s="1625"/>
      <c r="V531" s="1739"/>
      <c r="W531" s="1625" t="str">
        <f>B531</f>
        <v>DCA-RELATED COSTS</v>
      </c>
      <c r="X531" s="1625"/>
    </row>
    <row r="532" spans="1:24">
      <c r="A532" s="1625"/>
      <c r="B532" s="1625" t="str">
        <f>CONCATENATE("DCA HOME Loan Consent Pre-Application Fee ($",'DCA Underwriting Assumptions'!$Q$78, " FP/JV, $",'DCA Underwriting Assumptions'!$Q$79, " NP)")</f>
        <v>DCA HOME Loan Consent Pre-Application Fee ($1000 FP/JV, $500 NP)</v>
      </c>
      <c r="C532" s="1625"/>
      <c r="D532" s="1625"/>
      <c r="E532" s="1625"/>
      <c r="F532" s="1625"/>
      <c r="G532" s="1640">
        <f>'Part IV-A-Uses of Funds'!G96</f>
        <v>0</v>
      </c>
      <c r="H532" s="1640">
        <f>'Part IV-A-Uses of Funds'!H96</f>
        <v>0</v>
      </c>
      <c r="I532" s="1625"/>
      <c r="J532" s="1655"/>
      <c r="K532" s="1655"/>
      <c r="L532" s="1655"/>
      <c r="M532" s="1655"/>
      <c r="N532" s="1655"/>
      <c r="O532" s="1625"/>
      <c r="P532" s="1655"/>
      <c r="Q532" s="1655"/>
      <c r="R532" s="1625"/>
      <c r="S532" s="1640">
        <f>'Part IV-A-Uses of Funds'!S96</f>
        <v>0</v>
      </c>
      <c r="T532" s="1640">
        <f>'Part IV-A-Uses of Funds'!T96</f>
        <v>0</v>
      </c>
      <c r="U532" s="1625"/>
      <c r="V532" s="1739"/>
      <c r="W532" s="1329"/>
      <c r="X532" s="1329"/>
    </row>
    <row r="533" spans="1:24">
      <c r="A533" s="1625"/>
      <c r="B533" s="1625" t="str">
        <f>CONCATENATE("Tax Credit Application Fee ($",'DCA Underwriting Assumptions'!$Q$84, " ForProf/JntVent, $",'DCA Underwriting Assumptions'!$Q$85, " NonProf)")</f>
        <v>Tax Credit Application Fee ($6500 ForProf/JntVent, $5500 NonProf)</v>
      </c>
      <c r="C533" s="1625"/>
      <c r="D533" s="1625"/>
      <c r="E533" s="1625"/>
      <c r="F533" s="1625"/>
      <c r="G533" s="1640">
        <f>'Part IV-A-Uses of Funds'!G97</f>
        <v>5500</v>
      </c>
      <c r="H533" s="1640">
        <f>'Part IV-A-Uses of Funds'!H97</f>
        <v>0</v>
      </c>
      <c r="I533" s="1625"/>
      <c r="J533" s="1655"/>
      <c r="K533" s="1655"/>
      <c r="L533" s="1771"/>
      <c r="M533" s="1655"/>
      <c r="N533" s="1655"/>
      <c r="O533" s="1625"/>
      <c r="P533" s="1655"/>
      <c r="Q533" s="1655"/>
      <c r="R533" s="1625"/>
      <c r="S533" s="1640">
        <f>'Part IV-A-Uses of Funds'!S97</f>
        <v>5500</v>
      </c>
      <c r="T533" s="1640">
        <f>'Part IV-A-Uses of Funds'!T97</f>
        <v>0</v>
      </c>
      <c r="U533" s="1625"/>
      <c r="V533" s="1739"/>
      <c r="W533" s="1329"/>
      <c r="X533" s="1329"/>
    </row>
    <row r="534" spans="1:24">
      <c r="A534" s="1625"/>
      <c r="B534" s="1625" t="s">
        <v>3983</v>
      </c>
      <c r="C534" s="1625"/>
      <c r="D534" s="1625"/>
      <c r="E534" s="1625"/>
      <c r="F534" s="1625"/>
      <c r="G534" s="1640">
        <f>'Part IV-A-Uses of Funds'!G98</f>
        <v>2000</v>
      </c>
      <c r="H534" s="1640">
        <f>'Part IV-A-Uses of Funds'!H98</f>
        <v>0</v>
      </c>
      <c r="I534" s="1625"/>
      <c r="J534" s="1655"/>
      <c r="K534" s="1655"/>
      <c r="L534" s="1771"/>
      <c r="M534" s="1655"/>
      <c r="N534" s="1655"/>
      <c r="O534" s="1625"/>
      <c r="P534" s="1655"/>
      <c r="Q534" s="1655"/>
      <c r="R534" s="1625"/>
      <c r="S534" s="1640">
        <f>'Part IV-A-Uses of Funds'!S98</f>
        <v>2000</v>
      </c>
      <c r="T534" s="1640">
        <f>'Part IV-A-Uses of Funds'!T98</f>
        <v>0</v>
      </c>
      <c r="U534" s="1625"/>
      <c r="V534" s="1739"/>
      <c r="W534" s="1329"/>
      <c r="X534" s="1329"/>
    </row>
    <row r="535" spans="1:24">
      <c r="A535" s="1625"/>
      <c r="B535" s="1625" t="s">
        <v>524</v>
      </c>
      <c r="C535" s="1625"/>
      <c r="D535" s="1625"/>
      <c r="E535" s="1772">
        <f>'DCA Underwriting Assumptions'!$Q$88*J611</f>
        <v>69938.960000000006</v>
      </c>
      <c r="F535" s="1772"/>
      <c r="G535" s="1640">
        <f>'Part IV-A-Uses of Funds'!G99</f>
        <v>69939</v>
      </c>
      <c r="H535" s="1640">
        <f>'Part IV-A-Uses of Funds'!H99</f>
        <v>0</v>
      </c>
      <c r="I535" s="1625"/>
      <c r="J535" s="1773" t="str">
        <f>IF(E535&gt;G535,"WARNING!  LIHTC Allocation Fee proposed is below minimum required.","")</f>
        <v/>
      </c>
      <c r="K535" s="1655"/>
      <c r="L535" s="1655"/>
      <c r="M535" s="1655"/>
      <c r="N535" s="1655"/>
      <c r="O535" s="1625"/>
      <c r="P535" s="1655"/>
      <c r="Q535" s="1655"/>
      <c r="R535" s="1625"/>
      <c r="S535" s="1640">
        <f>'Part IV-A-Uses of Funds'!S99</f>
        <v>69939</v>
      </c>
      <c r="T535" s="1640">
        <f>'Part IV-A-Uses of Funds'!T99</f>
        <v>0</v>
      </c>
      <c r="U535" s="1625"/>
      <c r="V535" s="1739"/>
      <c r="W535" s="1329"/>
      <c r="X535" s="1329"/>
    </row>
    <row r="536" spans="1:24">
      <c r="A536" s="1625"/>
      <c r="B536" s="1625" t="s">
        <v>761</v>
      </c>
      <c r="C536" s="1625"/>
      <c r="D536" s="1625"/>
      <c r="E536" s="1772">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81400</v>
      </c>
      <c r="F536" s="1772"/>
      <c r="G536" s="1640">
        <f>'Part IV-A-Uses of Funds'!G100</f>
        <v>81400</v>
      </c>
      <c r="H536" s="1640">
        <f>'Part IV-A-Uses of Funds'!H100</f>
        <v>0</v>
      </c>
      <c r="I536" s="1625"/>
      <c r="J536" s="1773" t="str">
        <f>IF(E536&gt;G536,"WARNING!  LIHTC Compliance Fee proposed is below minimum required.","")</f>
        <v/>
      </c>
      <c r="K536" s="1632"/>
      <c r="L536" s="1632"/>
      <c r="M536" s="1632"/>
      <c r="N536" s="1632"/>
      <c r="O536" s="1632"/>
      <c r="P536" s="1632"/>
      <c r="Q536" s="1632"/>
      <c r="R536" s="1625"/>
      <c r="S536" s="1640">
        <f>'Part IV-A-Uses of Funds'!S100</f>
        <v>81400</v>
      </c>
      <c r="T536" s="1640">
        <f>'Part IV-A-Uses of Funds'!T100</f>
        <v>0</v>
      </c>
      <c r="U536" s="1625"/>
      <c r="V536" s="1739"/>
      <c r="W536" s="1329"/>
      <c r="X536" s="1329"/>
    </row>
    <row r="537" spans="1:24">
      <c r="A537" s="1625"/>
      <c r="B537" s="1625" t="s">
        <v>4297</v>
      </c>
      <c r="C537" s="1625"/>
      <c r="D537" s="1625"/>
      <c r="E537" s="1625"/>
      <c r="F537" s="1774">
        <f>'DCA Underwriting Assumptions'!$Q$90</f>
        <v>3000</v>
      </c>
      <c r="G537" s="1640">
        <f>'Part IV-A-Uses of Funds'!G101</f>
        <v>3000</v>
      </c>
      <c r="H537" s="1640">
        <f>'Part IV-A-Uses of Funds'!H101</f>
        <v>0</v>
      </c>
      <c r="I537" s="1625"/>
      <c r="J537" s="1632"/>
      <c r="K537" s="1632"/>
      <c r="L537" s="1632"/>
      <c r="M537" s="1632"/>
      <c r="N537" s="1632"/>
      <c r="O537" s="1632"/>
      <c r="P537" s="1632"/>
      <c r="Q537" s="1632"/>
      <c r="R537" s="1625"/>
      <c r="S537" s="1640">
        <f>'Part IV-A-Uses of Funds'!S101</f>
        <v>3000</v>
      </c>
      <c r="T537" s="1640">
        <f>'Part IV-A-Uses of Funds'!T101</f>
        <v>0</v>
      </c>
      <c r="U537" s="1625"/>
      <c r="V537" s="1739"/>
      <c r="W537" s="1329"/>
      <c r="X537" s="1329"/>
    </row>
    <row r="538" spans="1:24">
      <c r="A538" s="1625"/>
      <c r="B538" s="1625" t="s">
        <v>4298</v>
      </c>
      <c r="C538" s="1625"/>
      <c r="D538" s="1625"/>
      <c r="E538" s="1625"/>
      <c r="F538" s="1774">
        <f>'DCA Underwriting Assumptions'!$Q$111</f>
        <v>3000</v>
      </c>
      <c r="G538" s="1640">
        <f>'Part IV-A-Uses of Funds'!G102</f>
        <v>3000</v>
      </c>
      <c r="H538" s="1640">
        <f>'Part IV-A-Uses of Funds'!H102</f>
        <v>0</v>
      </c>
      <c r="I538" s="1625"/>
      <c r="J538" s="1632"/>
      <c r="K538" s="1632"/>
      <c r="L538" s="1632"/>
      <c r="M538" s="1632"/>
      <c r="N538" s="1632"/>
      <c r="O538" s="1632"/>
      <c r="P538" s="1632"/>
      <c r="Q538" s="1632"/>
      <c r="R538" s="1625"/>
      <c r="S538" s="1640">
        <f>'Part IV-A-Uses of Funds'!S102</f>
        <v>3000</v>
      </c>
      <c r="T538" s="1640">
        <f>'Part IV-A-Uses of Funds'!T102</f>
        <v>0</v>
      </c>
      <c r="U538" s="1625"/>
      <c r="V538" s="1739"/>
      <c r="W538" s="1329"/>
      <c r="X538" s="1329"/>
    </row>
    <row r="539" spans="1:24" ht="15.75" customHeight="1">
      <c r="A539" s="1740" t="str">
        <f>IF(AND(G539&gt;0,OR(C539="",C539="&lt;Enter detailed description here; use Comments section if needed&gt;")),"X","")</f>
        <v/>
      </c>
      <c r="B539" s="1625" t="s">
        <v>749</v>
      </c>
      <c r="C539" s="1643" t="str">
        <f>'Part IV-A-Uses of Funds'!C103</f>
        <v>&lt;&lt; Enter description here; provide detail &amp; justification in tab Part IV-b &gt;&gt;</v>
      </c>
      <c r="D539" s="1643">
        <f>'Part IV-A-Uses of Funds'!D103</f>
        <v>0</v>
      </c>
      <c r="E539" s="1643">
        <f>'Part IV-A-Uses of Funds'!E103</f>
        <v>0</v>
      </c>
      <c r="F539" s="1643">
        <f>'Part IV-A-Uses of Funds'!F103</f>
        <v>0</v>
      </c>
      <c r="G539" s="1640">
        <f>'Part IV-A-Uses of Funds'!G103</f>
        <v>0</v>
      </c>
      <c r="H539" s="1640">
        <f>'Part IV-A-Uses of Funds'!H103</f>
        <v>0</v>
      </c>
      <c r="I539" s="1625"/>
      <c r="J539" s="1632"/>
      <c r="K539" s="1632"/>
      <c r="L539" s="1632"/>
      <c r="M539" s="1632"/>
      <c r="N539" s="1632"/>
      <c r="O539" s="1632"/>
      <c r="P539" s="1632"/>
      <c r="Q539" s="1632"/>
      <c r="R539" s="1625"/>
      <c r="S539" s="1640">
        <f>'Part IV-A-Uses of Funds'!S103</f>
        <v>0</v>
      </c>
      <c r="T539" s="1640">
        <f>'Part IV-A-Uses of Funds'!T103</f>
        <v>0</v>
      </c>
      <c r="U539" s="1626" t="str">
        <f>IF(AND(G539&gt;0,OR(C539="",C539="&lt;Enter detailed description here; use Comments section if needed&gt;")),"NO DESCRIPTION PROVIDED - please enter detailed description in Other box at left; use Comments section below if needed.","")</f>
        <v/>
      </c>
      <c r="V539" s="1739"/>
      <c r="W539" s="1329"/>
      <c r="X539" s="1329"/>
    </row>
    <row r="540" spans="1:24" ht="16.5" customHeight="1">
      <c r="A540" s="1740" t="str">
        <f>IF(AND(G540&gt;0,OR(C540="",C540="&lt;Enter detailed description here; use Comments section if needed&gt;")),"X","")</f>
        <v/>
      </c>
      <c r="B540" s="1625" t="s">
        <v>749</v>
      </c>
      <c r="C540" s="1643" t="str">
        <f>'Part IV-A-Uses of Funds'!C104</f>
        <v>&lt;&lt; Enter description here; provide detail &amp; justification in tab Part IV-b &gt;&gt;</v>
      </c>
      <c r="D540" s="1643">
        <f>'Part IV-A-Uses of Funds'!D104</f>
        <v>0</v>
      </c>
      <c r="E540" s="1643">
        <f>'Part IV-A-Uses of Funds'!E104</f>
        <v>0</v>
      </c>
      <c r="F540" s="1643">
        <f>'Part IV-A-Uses of Funds'!F104</f>
        <v>0</v>
      </c>
      <c r="G540" s="1640">
        <f>'Part IV-A-Uses of Funds'!G104</f>
        <v>0</v>
      </c>
      <c r="H540" s="1640">
        <f>'Part IV-A-Uses of Funds'!H104</f>
        <v>0</v>
      </c>
      <c r="I540" s="1625"/>
      <c r="J540" s="1632"/>
      <c r="K540" s="1632"/>
      <c r="L540" s="1632"/>
      <c r="M540" s="1632"/>
      <c r="N540" s="1632"/>
      <c r="O540" s="1632"/>
      <c r="P540" s="1632"/>
      <c r="Q540" s="1632"/>
      <c r="R540" s="1625"/>
      <c r="S540" s="1640">
        <f>'Part IV-A-Uses of Funds'!S104</f>
        <v>0</v>
      </c>
      <c r="T540" s="1640">
        <f>'Part IV-A-Uses of Funds'!T104</f>
        <v>0</v>
      </c>
      <c r="U540" s="1626" t="str">
        <f>IF(AND(G540&gt;0,OR(C540="",C540="&lt;Enter detailed description here; use Comments section if needed&gt;")),"NO DESCRIPTION PROVIDED - please enter detailed description in Other box at left; use Comments section below if needed.","")</f>
        <v/>
      </c>
      <c r="V540" s="1739"/>
      <c r="W540" s="1329"/>
      <c r="X540" s="1329"/>
    </row>
    <row r="541" spans="1:24">
      <c r="A541" s="1625"/>
      <c r="B541" s="1625"/>
      <c r="C541" s="1625"/>
      <c r="D541" s="1625"/>
      <c r="E541" s="1625"/>
      <c r="F541" s="1742" t="s">
        <v>193</v>
      </c>
      <c r="G541" s="1640">
        <f>SUM(G532:H540)</f>
        <v>164839</v>
      </c>
      <c r="H541" s="1640"/>
      <c r="I541" s="1625"/>
      <c r="J541" s="1655"/>
      <c r="K541" s="1655"/>
      <c r="L541" s="1655"/>
      <c r="M541" s="1655"/>
      <c r="N541" s="1655"/>
      <c r="O541" s="1625"/>
      <c r="P541" s="1655"/>
      <c r="Q541" s="1655"/>
      <c r="R541" s="1625"/>
      <c r="S541" s="1640">
        <f>SUM(S532:T540)</f>
        <v>164839</v>
      </c>
      <c r="T541" s="1640"/>
      <c r="U541" s="1625"/>
      <c r="V541" s="1739">
        <f>SUM(V532:V540)</f>
        <v>0</v>
      </c>
      <c r="W541" s="1775"/>
      <c r="X541" s="1775"/>
    </row>
    <row r="542" spans="1:24">
      <c r="A542" s="1625"/>
      <c r="B542" s="1622" t="s">
        <v>2315</v>
      </c>
      <c r="C542" s="1625"/>
      <c r="D542" s="1625"/>
      <c r="E542" s="1625"/>
      <c r="F542" s="1625"/>
      <c r="G542" s="1625"/>
      <c r="H542" s="1625"/>
      <c r="I542" s="1625"/>
      <c r="J542" s="1655"/>
      <c r="K542" s="1655"/>
      <c r="L542" s="1625"/>
      <c r="M542" s="1655"/>
      <c r="N542" s="1655"/>
      <c r="O542" s="1743" t="str">
        <f>B542</f>
        <v>EQUITY COSTS</v>
      </c>
      <c r="P542" s="1655"/>
      <c r="Q542" s="1655"/>
      <c r="R542" s="1625"/>
      <c r="S542" s="1655"/>
      <c r="T542" s="1655"/>
      <c r="U542" s="1625"/>
      <c r="V542" s="1739"/>
      <c r="W542" s="1625" t="str">
        <f>B542</f>
        <v>EQUITY COSTS</v>
      </c>
      <c r="X542" s="1625"/>
    </row>
    <row r="543" spans="1:24">
      <c r="A543" s="1625"/>
      <c r="B543" s="1625" t="s">
        <v>281</v>
      </c>
      <c r="C543" s="1625"/>
      <c r="D543" s="1625"/>
      <c r="E543" s="1625"/>
      <c r="F543" s="1625"/>
      <c r="G543" s="1640">
        <f>'Part IV-A-Uses of Funds'!G107</f>
        <v>25000</v>
      </c>
      <c r="H543" s="1640">
        <f>'Part IV-A-Uses of Funds'!H107</f>
        <v>0</v>
      </c>
      <c r="I543" s="1625"/>
      <c r="J543" s="1640"/>
      <c r="K543" s="1640"/>
      <c r="L543" s="1655"/>
      <c r="M543" s="1640"/>
      <c r="N543" s="1640"/>
      <c r="O543" s="1625"/>
      <c r="P543" s="1640"/>
      <c r="Q543" s="1640"/>
      <c r="R543" s="1625"/>
      <c r="S543" s="1640">
        <f>'Part IV-A-Uses of Funds'!S107</f>
        <v>25000</v>
      </c>
      <c r="T543" s="1640">
        <f>'Part IV-A-Uses of Funds'!T107</f>
        <v>0</v>
      </c>
      <c r="U543" s="1625"/>
      <c r="V543" s="1739"/>
      <c r="W543" s="1329"/>
      <c r="X543" s="1329"/>
    </row>
    <row r="544" spans="1:24">
      <c r="A544" s="1625"/>
      <c r="B544" s="1625" t="s">
        <v>282</v>
      </c>
      <c r="C544" s="1625"/>
      <c r="D544" s="1625"/>
      <c r="E544" s="1625"/>
      <c r="F544" s="1625"/>
      <c r="G544" s="1640">
        <f>'Part IV-A-Uses of Funds'!G108</f>
        <v>20000</v>
      </c>
      <c r="H544" s="1640">
        <f>'Part IV-A-Uses of Funds'!H108</f>
        <v>0</v>
      </c>
      <c r="I544" s="1625"/>
      <c r="J544" s="1640"/>
      <c r="K544" s="1640"/>
      <c r="L544" s="1655"/>
      <c r="M544" s="1640"/>
      <c r="N544" s="1640"/>
      <c r="O544" s="1625"/>
      <c r="P544" s="1640"/>
      <c r="Q544" s="1640"/>
      <c r="R544" s="1625"/>
      <c r="S544" s="1640">
        <f>'Part IV-A-Uses of Funds'!S108</f>
        <v>20000</v>
      </c>
      <c r="T544" s="1640">
        <f>'Part IV-A-Uses of Funds'!T108</f>
        <v>0</v>
      </c>
      <c r="U544" s="1625"/>
      <c r="V544" s="1739"/>
      <c r="W544" s="1329"/>
      <c r="X544" s="1329"/>
    </row>
    <row r="545" spans="1:24">
      <c r="A545" s="1625"/>
      <c r="B545" s="1625" t="s">
        <v>2402</v>
      </c>
      <c r="C545" s="1625"/>
      <c r="D545" s="1625"/>
      <c r="E545" s="1625"/>
      <c r="F545" s="1625"/>
      <c r="G545" s="1640">
        <f>'Part IV-A-Uses of Funds'!G109</f>
        <v>0</v>
      </c>
      <c r="H545" s="1640">
        <f>'Part IV-A-Uses of Funds'!H109</f>
        <v>0</v>
      </c>
      <c r="I545" s="1625"/>
      <c r="J545" s="1640"/>
      <c r="K545" s="1640"/>
      <c r="L545" s="1655"/>
      <c r="M545" s="1640"/>
      <c r="N545" s="1640"/>
      <c r="O545" s="1625"/>
      <c r="P545" s="1640"/>
      <c r="Q545" s="1640"/>
      <c r="R545" s="1625"/>
      <c r="S545" s="1640">
        <f>'Part IV-A-Uses of Funds'!S109</f>
        <v>0</v>
      </c>
      <c r="T545" s="1640">
        <f>'Part IV-A-Uses of Funds'!T109</f>
        <v>0</v>
      </c>
      <c r="U545" s="1625"/>
      <c r="V545" s="1739"/>
      <c r="W545" s="1329"/>
      <c r="X545" s="1329"/>
    </row>
    <row r="546" spans="1:24" ht="16.5" customHeight="1">
      <c r="A546" s="1740" t="str">
        <f>IF(AND(G546&gt;0,OR(C546="",C546="&lt;Enter detailed description here; use Comments section if needed&gt;")),"X","")</f>
        <v/>
      </c>
      <c r="B546" s="1625" t="s">
        <v>749</v>
      </c>
      <c r="C546" s="1643" t="str">
        <f>'Part IV-A-Uses of Funds'!C110</f>
        <v>&lt;&lt; Enter description here; provide detail &amp; justification in tab Part IV-b &gt;&gt;</v>
      </c>
      <c r="D546" s="1643">
        <f>'Part IV-A-Uses of Funds'!D110</f>
        <v>0</v>
      </c>
      <c r="E546" s="1643">
        <f>'Part IV-A-Uses of Funds'!E110</f>
        <v>0</v>
      </c>
      <c r="F546" s="1643">
        <f>'Part IV-A-Uses of Funds'!F110</f>
        <v>0</v>
      </c>
      <c r="G546" s="1640">
        <f>'Part IV-A-Uses of Funds'!G110</f>
        <v>0</v>
      </c>
      <c r="H546" s="1640">
        <f>'Part IV-A-Uses of Funds'!H110</f>
        <v>0</v>
      </c>
      <c r="I546" s="1625"/>
      <c r="J546" s="1640"/>
      <c r="K546" s="1640"/>
      <c r="L546" s="1655"/>
      <c r="M546" s="1640"/>
      <c r="N546" s="1640"/>
      <c r="O546" s="1625"/>
      <c r="P546" s="1640"/>
      <c r="Q546" s="1640"/>
      <c r="R546" s="1625"/>
      <c r="S546" s="1640">
        <f>'Part IV-A-Uses of Funds'!S110</f>
        <v>0</v>
      </c>
      <c r="T546" s="1640">
        <f>'Part IV-A-Uses of Funds'!T110</f>
        <v>0</v>
      </c>
      <c r="U546" s="1626" t="str">
        <f>IF(AND(G546&gt;0,OR(C546="",C546="&lt;Enter detailed description here; use Comments section if needed&gt;")),"NO DESCRIPTION PROVIDED - please enter detailed description in Other box at left; use Comments section below if needed.","")</f>
        <v/>
      </c>
      <c r="V546" s="1739"/>
      <c r="W546" s="1329"/>
      <c r="X546" s="1329"/>
    </row>
    <row r="547" spans="1:24">
      <c r="A547" s="1625"/>
      <c r="B547" s="1625"/>
      <c r="C547" s="1625"/>
      <c r="D547" s="1625"/>
      <c r="E547" s="1625"/>
      <c r="F547" s="1742" t="s">
        <v>193</v>
      </c>
      <c r="G547" s="1640">
        <f>SUM(G543:H546)</f>
        <v>45000</v>
      </c>
      <c r="H547" s="1640"/>
      <c r="I547" s="1625"/>
      <c r="J547" s="1640"/>
      <c r="K547" s="1640"/>
      <c r="L547" s="1655"/>
      <c r="M547" s="1640"/>
      <c r="N547" s="1640"/>
      <c r="O547" s="1625"/>
      <c r="P547" s="1640"/>
      <c r="Q547" s="1640"/>
      <c r="R547" s="1625"/>
      <c r="S547" s="1640">
        <f>SUM(S543:T546)</f>
        <v>45000</v>
      </c>
      <c r="T547" s="1640"/>
      <c r="U547" s="1625"/>
      <c r="V547" s="1739">
        <f>SUM(V543:V546)</f>
        <v>0</v>
      </c>
      <c r="W547" s="1329"/>
      <c r="X547" s="1329"/>
    </row>
    <row r="548" spans="1:24">
      <c r="A548" s="1625"/>
      <c r="B548" s="1622" t="s">
        <v>283</v>
      </c>
      <c r="C548" s="1625"/>
      <c r="D548" s="1625"/>
      <c r="E548" s="1625"/>
      <c r="F548" s="1625"/>
      <c r="G548" s="1625"/>
      <c r="H548" s="1625"/>
      <c r="I548" s="1625"/>
      <c r="J548" s="1655"/>
      <c r="K548" s="1640"/>
      <c r="L548" s="1625"/>
      <c r="M548" s="1655"/>
      <c r="N548" s="1640"/>
      <c r="O548" s="1743" t="str">
        <f>B548</f>
        <v>DEVELOPER'S FEE</v>
      </c>
      <c r="P548" s="1655"/>
      <c r="Q548" s="1640"/>
      <c r="R548" s="1625"/>
      <c r="S548" s="1655"/>
      <c r="T548" s="1640"/>
      <c r="U548" s="1625"/>
      <c r="V548" s="1739"/>
      <c r="W548" s="1625" t="str">
        <f>B548</f>
        <v>DEVELOPER'S FEE</v>
      </c>
      <c r="X548" s="1625"/>
    </row>
    <row r="549" spans="1:24">
      <c r="A549" s="1625"/>
      <c r="B549" s="1625" t="s">
        <v>1874</v>
      </c>
      <c r="C549" s="1625"/>
      <c r="D549" s="1625"/>
      <c r="E549" s="1625"/>
      <c r="F549" s="1722">
        <f>IF($G$118=0,0,G549/$G$118)</f>
        <v>0</v>
      </c>
      <c r="G549" s="1640">
        <f>'Part IV-A-Uses of Funds'!G113</f>
        <v>300000</v>
      </c>
      <c r="H549" s="1640">
        <f>'Part IV-A-Uses of Funds'!H113</f>
        <v>0</v>
      </c>
      <c r="I549" s="1625"/>
      <c r="J549" s="1640">
        <f>'Part IV-A-Uses of Funds'!J113</f>
        <v>300000</v>
      </c>
      <c r="K549" s="1640">
        <f>'Part IV-A-Uses of Funds'!K113</f>
        <v>0</v>
      </c>
      <c r="L549" s="1743"/>
      <c r="M549" s="1640">
        <f>'Part IV-A-Uses of Funds'!M113</f>
        <v>0</v>
      </c>
      <c r="N549" s="1640">
        <f>'Part IV-A-Uses of Funds'!N113</f>
        <v>0</v>
      </c>
      <c r="O549" s="1625"/>
      <c r="P549" s="1640">
        <f>'Part IV-A-Uses of Funds'!P113</f>
        <v>0</v>
      </c>
      <c r="Q549" s="1640">
        <f>'Part IV-A-Uses of Funds'!Q113</f>
        <v>0</v>
      </c>
      <c r="R549" s="1625"/>
      <c r="S549" s="1640">
        <f>'Part IV-A-Uses of Funds'!S113</f>
        <v>0</v>
      </c>
      <c r="T549" s="1640">
        <f>'Part IV-A-Uses of Funds'!T113</f>
        <v>0</v>
      </c>
      <c r="U549" s="1625"/>
      <c r="V549" s="1739"/>
      <c r="W549" s="1329"/>
      <c r="X549" s="1329"/>
    </row>
    <row r="550" spans="1:24">
      <c r="A550" s="1625"/>
      <c r="B550" s="1625" t="s">
        <v>4249</v>
      </c>
      <c r="C550" s="1625"/>
      <c r="D550" s="1625"/>
      <c r="E550" s="1625"/>
      <c r="F550" s="1776">
        <f>'Part IV-A-Uses of Funds'!F114</f>
        <v>1319840</v>
      </c>
      <c r="G550" s="1625"/>
      <c r="H550" s="1625"/>
      <c r="I550" s="1625"/>
      <c r="J550" s="1625"/>
      <c r="K550" s="1625"/>
      <c r="L550" s="1625"/>
      <c r="M550" s="1625"/>
      <c r="N550" s="1625"/>
      <c r="O550" s="1625"/>
      <c r="P550" s="1625"/>
      <c r="Q550" s="1625"/>
      <c r="R550" s="1625"/>
      <c r="S550" s="1625"/>
      <c r="T550" s="1625"/>
      <c r="U550" s="1625"/>
      <c r="V550" s="1739"/>
      <c r="W550" s="1329"/>
      <c r="X550" s="1329"/>
    </row>
    <row r="551" spans="1:24">
      <c r="A551" s="1625"/>
      <c r="B551" s="1625" t="s">
        <v>1875</v>
      </c>
      <c r="C551" s="1625"/>
      <c r="D551" s="1625"/>
      <c r="E551" s="1625"/>
      <c r="F551" s="1722">
        <f>IF($G$118=0,0,G551/$G$118)</f>
        <v>0</v>
      </c>
      <c r="G551" s="1640">
        <f>'Part IV-A-Uses of Funds'!G115</f>
        <v>0</v>
      </c>
      <c r="H551" s="1640">
        <f>'Part IV-A-Uses of Funds'!H115</f>
        <v>0</v>
      </c>
      <c r="I551" s="1625"/>
      <c r="J551" s="1640">
        <f>'Part IV-A-Uses of Funds'!J115</f>
        <v>0</v>
      </c>
      <c r="K551" s="1640">
        <f>'Part IV-A-Uses of Funds'!K115</f>
        <v>0</v>
      </c>
      <c r="L551" s="1655"/>
      <c r="M551" s="1640">
        <f>'Part IV-A-Uses of Funds'!M115</f>
        <v>0</v>
      </c>
      <c r="N551" s="1640">
        <f>'Part IV-A-Uses of Funds'!N115</f>
        <v>0</v>
      </c>
      <c r="O551" s="1625"/>
      <c r="P551" s="1640">
        <f>'Part IV-A-Uses of Funds'!P115</f>
        <v>0</v>
      </c>
      <c r="Q551" s="1640">
        <f>'Part IV-A-Uses of Funds'!Q115</f>
        <v>0</v>
      </c>
      <c r="R551" s="1625"/>
      <c r="S551" s="1640">
        <f>'Part IV-A-Uses of Funds'!S115</f>
        <v>0</v>
      </c>
      <c r="T551" s="1640">
        <f>'Part IV-A-Uses of Funds'!T115</f>
        <v>0</v>
      </c>
      <c r="U551" s="1625"/>
      <c r="V551" s="1739"/>
      <c r="W551" s="1329"/>
      <c r="X551" s="1329"/>
    </row>
    <row r="552" spans="1:24">
      <c r="A552" s="1625"/>
      <c r="B552" s="1625" t="s">
        <v>3660</v>
      </c>
      <c r="C552" s="1625"/>
      <c r="D552" s="1625"/>
      <c r="E552" s="1625"/>
      <c r="F552" s="1722">
        <f>IF($G$118=0,0,G552/$G$118)</f>
        <v>0</v>
      </c>
      <c r="G552" s="1640">
        <f>'Part IV-A-Uses of Funds'!G116</f>
        <v>0</v>
      </c>
      <c r="H552" s="1640">
        <f>'Part IV-A-Uses of Funds'!H116</f>
        <v>0</v>
      </c>
      <c r="I552" s="1625"/>
      <c r="J552" s="1640">
        <f>'Part IV-A-Uses of Funds'!J116</f>
        <v>0</v>
      </c>
      <c r="K552" s="1640">
        <f>'Part IV-A-Uses of Funds'!K116</f>
        <v>0</v>
      </c>
      <c r="L552" s="1655"/>
      <c r="M552" s="1640">
        <f>'Part IV-A-Uses of Funds'!M116</f>
        <v>0</v>
      </c>
      <c r="N552" s="1640">
        <f>'Part IV-A-Uses of Funds'!N116</f>
        <v>0</v>
      </c>
      <c r="O552" s="1625"/>
      <c r="P552" s="1640">
        <f>'Part IV-A-Uses of Funds'!P116</f>
        <v>0</v>
      </c>
      <c r="Q552" s="1640">
        <f>'Part IV-A-Uses of Funds'!Q116</f>
        <v>0</v>
      </c>
      <c r="R552" s="1625"/>
      <c r="S552" s="1640">
        <f>'Part IV-A-Uses of Funds'!S116</f>
        <v>0</v>
      </c>
      <c r="T552" s="1640">
        <f>'Part IV-A-Uses of Funds'!T116</f>
        <v>0</v>
      </c>
      <c r="U552" s="1625"/>
      <c r="V552" s="1739"/>
      <c r="W552" s="1329"/>
      <c r="X552" s="1329"/>
    </row>
    <row r="553" spans="1:24">
      <c r="A553" s="1625"/>
      <c r="B553" s="1625" t="s">
        <v>1867</v>
      </c>
      <c r="C553" s="1625"/>
      <c r="D553" s="1625"/>
      <c r="E553" s="1625"/>
      <c r="F553" s="1722">
        <f>IF($G$118=0,0,G553/$G$118)</f>
        <v>0</v>
      </c>
      <c r="G553" s="1640">
        <f>'Part IV-A-Uses of Funds'!G117</f>
        <v>1300000</v>
      </c>
      <c r="H553" s="1640">
        <f>'Part IV-A-Uses of Funds'!H117</f>
        <v>0</v>
      </c>
      <c r="I553" s="1625"/>
      <c r="J553" s="1640">
        <f>'Part IV-A-Uses of Funds'!J117</f>
        <v>1300000</v>
      </c>
      <c r="K553" s="1640">
        <f>'Part IV-A-Uses of Funds'!K117</f>
        <v>0</v>
      </c>
      <c r="L553" s="1655"/>
      <c r="M553" s="1640">
        <f>'Part IV-A-Uses of Funds'!M117</f>
        <v>0</v>
      </c>
      <c r="N553" s="1640">
        <f>'Part IV-A-Uses of Funds'!N117</f>
        <v>0</v>
      </c>
      <c r="O553" s="1625"/>
      <c r="P553" s="1640">
        <f>'Part IV-A-Uses of Funds'!P117</f>
        <v>0</v>
      </c>
      <c r="Q553" s="1640">
        <f>'Part IV-A-Uses of Funds'!Q117</f>
        <v>0</v>
      </c>
      <c r="R553" s="1625"/>
      <c r="S553" s="1640">
        <f>'Part IV-A-Uses of Funds'!S117</f>
        <v>0</v>
      </c>
      <c r="T553" s="1640">
        <f>'Part IV-A-Uses of Funds'!T117</f>
        <v>0</v>
      </c>
      <c r="U553" s="1625"/>
      <c r="V553" s="1739"/>
      <c r="W553" s="1329"/>
      <c r="X553" s="1329"/>
    </row>
    <row r="554" spans="1:24">
      <c r="A554" s="1625"/>
      <c r="B554" s="1625"/>
      <c r="C554" s="1626"/>
      <c r="D554" s="1625"/>
      <c r="E554" s="1625"/>
      <c r="F554" s="1742" t="s">
        <v>193</v>
      </c>
      <c r="G554" s="1640">
        <f>SUM(G549:H553)</f>
        <v>1600000</v>
      </c>
      <c r="H554" s="1640"/>
      <c r="I554" s="1625"/>
      <c r="J554" s="1640">
        <f>SUM(J549:K553)</f>
        <v>1600000</v>
      </c>
      <c r="K554" s="1640"/>
      <c r="L554" s="1655"/>
      <c r="M554" s="1640">
        <f>SUM(M549:N553)</f>
        <v>0</v>
      </c>
      <c r="N554" s="1640"/>
      <c r="O554" s="1625"/>
      <c r="P554" s="1640">
        <f>SUM(P549:Q553)</f>
        <v>0</v>
      </c>
      <c r="Q554" s="1640"/>
      <c r="R554" s="1625"/>
      <c r="S554" s="1640">
        <f>SUM(S549:T553)</f>
        <v>0</v>
      </c>
      <c r="T554" s="1640"/>
      <c r="U554" s="1625"/>
      <c r="V554" s="1739">
        <f>SUM(V549:V553)</f>
        <v>0</v>
      </c>
      <c r="W554" s="1329"/>
      <c r="X554" s="1329"/>
    </row>
    <row r="555" spans="1:24">
      <c r="A555" s="1625"/>
      <c r="B555" s="1622" t="s">
        <v>1321</v>
      </c>
      <c r="C555" s="1625"/>
      <c r="D555" s="1625"/>
      <c r="E555" s="1625"/>
      <c r="F555" s="1625"/>
      <c r="G555" s="1625"/>
      <c r="H555" s="1625"/>
      <c r="I555" s="1625"/>
      <c r="J555" s="1640"/>
      <c r="K555" s="1640"/>
      <c r="L555" s="1625"/>
      <c r="M555" s="1640"/>
      <c r="N555" s="1640"/>
      <c r="O555" s="1743" t="str">
        <f>B555</f>
        <v>START-UP AND RESERVES</v>
      </c>
      <c r="P555" s="1640"/>
      <c r="Q555" s="1640"/>
      <c r="R555" s="1625"/>
      <c r="S555" s="1640"/>
      <c r="T555" s="1640"/>
      <c r="U555" s="1625"/>
      <c r="V555" s="1739"/>
      <c r="W555" s="1625" t="str">
        <f>B555</f>
        <v>START-UP AND RESERVES</v>
      </c>
      <c r="X555" s="1625"/>
    </row>
    <row r="556" spans="1:24">
      <c r="A556" s="1625"/>
      <c r="B556" s="1625" t="s">
        <v>253</v>
      </c>
      <c r="C556" s="1625"/>
      <c r="D556" s="1625"/>
      <c r="E556" s="1625"/>
      <c r="F556" s="1625"/>
      <c r="G556" s="1640">
        <f>'Part IV-A-Uses of Funds'!G120</f>
        <v>1000</v>
      </c>
      <c r="H556" s="1640">
        <f>'Part IV-A-Uses of Funds'!H120</f>
        <v>0</v>
      </c>
      <c r="I556" s="1625"/>
      <c r="J556" s="1771"/>
      <c r="K556" s="1771"/>
      <c r="L556" s="1771"/>
      <c r="M556" s="1771"/>
      <c r="N556" s="1771"/>
      <c r="O556" s="1625"/>
      <c r="P556" s="1771"/>
      <c r="Q556" s="1771"/>
      <c r="R556" s="1625"/>
      <c r="S556" s="1640">
        <f>'Part IV-A-Uses of Funds'!S120</f>
        <v>1000</v>
      </c>
      <c r="T556" s="1640">
        <f>'Part IV-A-Uses of Funds'!T120</f>
        <v>0</v>
      </c>
      <c r="U556" s="1625"/>
      <c r="V556" s="1739"/>
      <c r="W556" s="1329"/>
      <c r="X556" s="1329"/>
    </row>
    <row r="557" spans="1:24">
      <c r="A557" s="1625"/>
      <c r="B557" s="1625" t="s">
        <v>1548</v>
      </c>
      <c r="C557" s="1625"/>
      <c r="D557" s="1625"/>
      <c r="E557" s="1625"/>
      <c r="F557" s="1683">
        <f>+'Part VI-Revenues &amp; Expenses'!$P$175*('DCA Underwriting Assumptions'!$Q$110/12)</f>
        <v>74700.75</v>
      </c>
      <c r="G557" s="1640">
        <f>'Part IV-A-Uses of Funds'!G121</f>
        <v>74701</v>
      </c>
      <c r="H557" s="1640">
        <f>'Part IV-A-Uses of Funds'!H121</f>
        <v>0</v>
      </c>
      <c r="I557" s="1625"/>
      <c r="J557" s="1777" t="str">
        <f>IF(E557&gt;G557,"WARNING! Rent-Up Reserves proposed is below minimum - add comment.","")</f>
        <v/>
      </c>
      <c r="K557" s="1777"/>
      <c r="L557" s="1655"/>
      <c r="M557" s="1640"/>
      <c r="N557" s="1640"/>
      <c r="O557" s="1625"/>
      <c r="P557" s="1640"/>
      <c r="Q557" s="1640"/>
      <c r="R557" s="1625"/>
      <c r="S557" s="1640">
        <f>'Part IV-A-Uses of Funds'!S121</f>
        <v>74701</v>
      </c>
      <c r="T557" s="1640">
        <f>'Part IV-A-Uses of Funds'!T121</f>
        <v>0</v>
      </c>
      <c r="U557" s="1625"/>
      <c r="V557" s="1739"/>
      <c r="W557" s="1329"/>
      <c r="X557" s="1329"/>
    </row>
    <row r="558" spans="1:24">
      <c r="A558" s="1625"/>
      <c r="B558" s="1625" t="s">
        <v>684</v>
      </c>
      <c r="C558" s="1625"/>
      <c r="D558" s="1625"/>
      <c r="E558" s="1625"/>
      <c r="F558" s="1778">
        <f>'Part VI-Revenues &amp; Expenses'!$P$175*('DCA Underwriting Assumptions'!$Q$109/12)+('Part VII-Pro Forma'!$B$23+'Part VII-Pro Forma'!$B$24+'Part VII-Pro Forma'!$B$25+'Part VII-Pro Forma'!$B$26)*'DCA Underwriting Assumptions'!$Q$108/(-12)</f>
        <v>180449.53570586094</v>
      </c>
      <c r="G558" s="1640">
        <f>'Part IV-A-Uses of Funds'!G122</f>
        <v>180450</v>
      </c>
      <c r="H558" s="1640">
        <f>'Part IV-A-Uses of Funds'!H122</f>
        <v>0</v>
      </c>
      <c r="I558" s="1625"/>
      <c r="J558" s="1777" t="str">
        <f>IF(E558&gt;G558,"WARNING! ODR proposed is below minimum - add comment.","")</f>
        <v/>
      </c>
      <c r="K558" s="1771"/>
      <c r="L558" s="1771"/>
      <c r="M558" s="1771"/>
      <c r="N558" s="1771"/>
      <c r="O558" s="1625"/>
      <c r="P558" s="1771"/>
      <c r="Q558" s="1771"/>
      <c r="R558" s="1625"/>
      <c r="S558" s="1640">
        <f>'Part IV-A-Uses of Funds'!S122</f>
        <v>180450</v>
      </c>
      <c r="T558" s="1640">
        <f>'Part IV-A-Uses of Funds'!T122</f>
        <v>0</v>
      </c>
      <c r="U558" s="1625"/>
      <c r="V558" s="1739"/>
      <c r="W558" s="1329"/>
      <c r="X558" s="1329"/>
    </row>
    <row r="559" spans="1:24">
      <c r="A559" s="1625"/>
      <c r="B559" s="1625" t="s">
        <v>1256</v>
      </c>
      <c r="C559" s="1625"/>
      <c r="D559" s="1625"/>
      <c r="E559" s="1625"/>
      <c r="F559" s="1625"/>
      <c r="G559" s="1640">
        <f>'Part IV-A-Uses of Funds'!G123</f>
        <v>0</v>
      </c>
      <c r="H559" s="1640">
        <f>'Part IV-A-Uses of Funds'!H123</f>
        <v>0</v>
      </c>
      <c r="I559" s="1625"/>
      <c r="J559" s="1771"/>
      <c r="K559" s="1771"/>
      <c r="L559" s="1771"/>
      <c r="M559" s="1771"/>
      <c r="N559" s="1771"/>
      <c r="O559" s="1625"/>
      <c r="P559" s="1771"/>
      <c r="Q559" s="1771"/>
      <c r="R559" s="1625"/>
      <c r="S559" s="1640">
        <f>'Part IV-A-Uses of Funds'!S123</f>
        <v>0</v>
      </c>
      <c r="T559" s="1640">
        <f>'Part IV-A-Uses of Funds'!T123</f>
        <v>0</v>
      </c>
      <c r="U559" s="1625"/>
      <c r="V559" s="1739"/>
      <c r="W559" s="1329"/>
      <c r="X559" s="1329"/>
    </row>
    <row r="560" spans="1:24">
      <c r="A560" s="1625"/>
      <c r="B560" s="1625" t="s">
        <v>1257</v>
      </c>
      <c r="C560" s="1625"/>
      <c r="D560" s="1625"/>
      <c r="E560" s="1689" t="s">
        <v>3589</v>
      </c>
      <c r="F560" s="1691">
        <f>IF('Part VI-Revenues &amp; Expenses'!$O$62=0,0,G560/'Part VI-Revenues &amp; Expenses'!$O$62)</f>
        <v>923.07692307692309</v>
      </c>
      <c r="G560" s="1640">
        <f>'Part IV-A-Uses of Funds'!G124</f>
        <v>60000</v>
      </c>
      <c r="H560" s="1640">
        <f>'Part IV-A-Uses of Funds'!H124</f>
        <v>0</v>
      </c>
      <c r="I560" s="1625"/>
      <c r="J560" s="1640">
        <f>'Part IV-A-Uses of Funds'!J124</f>
        <v>60000</v>
      </c>
      <c r="K560" s="1640">
        <f>'Part IV-A-Uses of Funds'!K124</f>
        <v>0</v>
      </c>
      <c r="L560" s="1655"/>
      <c r="M560" s="1640">
        <f>'Part IV-A-Uses of Funds'!M124</f>
        <v>0</v>
      </c>
      <c r="N560" s="1640">
        <f>'Part IV-A-Uses of Funds'!N124</f>
        <v>0</v>
      </c>
      <c r="O560" s="1625"/>
      <c r="P560" s="1640">
        <f>'Part IV-A-Uses of Funds'!P124</f>
        <v>0</v>
      </c>
      <c r="Q560" s="1640">
        <f>'Part IV-A-Uses of Funds'!Q124</f>
        <v>0</v>
      </c>
      <c r="R560" s="1625"/>
      <c r="S560" s="1640">
        <f>'Part IV-A-Uses of Funds'!S124</f>
        <v>0</v>
      </c>
      <c r="T560" s="1640">
        <f>'Part IV-A-Uses of Funds'!T124</f>
        <v>0</v>
      </c>
      <c r="U560" s="1625"/>
      <c r="V560" s="1739"/>
      <c r="W560" s="1329"/>
      <c r="X560" s="1329"/>
    </row>
    <row r="561" spans="1:24" ht="16.5" customHeight="1">
      <c r="A561" s="1740" t="str">
        <f>IF(AND(G561&gt;0,OR(C561="",C561="&lt;Enter detailed description here; use Comments section if needed&gt;")),"X","")</f>
        <v/>
      </c>
      <c r="B561" s="1625" t="s">
        <v>749</v>
      </c>
      <c r="C561" s="1643" t="str">
        <f>'Part IV-A-Uses of Funds'!C125</f>
        <v>Security Systems</v>
      </c>
      <c r="D561" s="1643">
        <f>'Part IV-A-Uses of Funds'!D125</f>
        <v>0</v>
      </c>
      <c r="E561" s="1643">
        <f>'Part IV-A-Uses of Funds'!E125</f>
        <v>0</v>
      </c>
      <c r="F561" s="1643">
        <f>'Part IV-A-Uses of Funds'!F125</f>
        <v>0</v>
      </c>
      <c r="G561" s="1640">
        <f>'Part IV-A-Uses of Funds'!G125</f>
        <v>31363</v>
      </c>
      <c r="H561" s="1640">
        <f>'Part IV-A-Uses of Funds'!H125</f>
        <v>0</v>
      </c>
      <c r="I561" s="1625"/>
      <c r="J561" s="1640">
        <f>'Part IV-A-Uses of Funds'!J125</f>
        <v>31363</v>
      </c>
      <c r="K561" s="1640">
        <f>'Part IV-A-Uses of Funds'!K125</f>
        <v>0</v>
      </c>
      <c r="L561" s="1655"/>
      <c r="M561" s="1640">
        <f>'Part IV-A-Uses of Funds'!M125</f>
        <v>0</v>
      </c>
      <c r="N561" s="1640">
        <f>'Part IV-A-Uses of Funds'!N125</f>
        <v>0</v>
      </c>
      <c r="O561" s="1625"/>
      <c r="P561" s="1640">
        <f>'Part IV-A-Uses of Funds'!P125</f>
        <v>0</v>
      </c>
      <c r="Q561" s="1640">
        <f>'Part IV-A-Uses of Funds'!Q125</f>
        <v>0</v>
      </c>
      <c r="R561" s="1625"/>
      <c r="S561" s="1640">
        <f>'Part IV-A-Uses of Funds'!S125</f>
        <v>0</v>
      </c>
      <c r="T561" s="1640">
        <f>'Part IV-A-Uses of Funds'!T125</f>
        <v>0</v>
      </c>
      <c r="U561" s="1626" t="str">
        <f>IF(AND(G561&gt;0,OR(C561="",C561="&lt;Enter detailed description here; use Comments section if needed&gt;")),"NO DESCRIPTION PROVIDED - please enter detailed description in Other box at left; use Comments section below if needed.","")</f>
        <v/>
      </c>
      <c r="V561" s="1739"/>
      <c r="W561" s="1329"/>
      <c r="X561" s="1329"/>
    </row>
    <row r="562" spans="1:24">
      <c r="A562" s="1625"/>
      <c r="B562" s="1779"/>
      <c r="C562" s="1625"/>
      <c r="D562" s="1625"/>
      <c r="E562" s="1625"/>
      <c r="F562" s="1742" t="s">
        <v>193</v>
      </c>
      <c r="G562" s="1640">
        <f>SUM(G556:H561)</f>
        <v>347514</v>
      </c>
      <c r="H562" s="1640"/>
      <c r="I562" s="1625"/>
      <c r="J562" s="1640">
        <f>SUM(J560:K561)</f>
        <v>91363</v>
      </c>
      <c r="K562" s="1640"/>
      <c r="L562" s="1655"/>
      <c r="M562" s="1640">
        <f>SUM(M560:N561)</f>
        <v>0</v>
      </c>
      <c r="N562" s="1640"/>
      <c r="O562" s="1625"/>
      <c r="P562" s="1640">
        <f>SUM(P560:Q561)</f>
        <v>0</v>
      </c>
      <c r="Q562" s="1640"/>
      <c r="R562" s="1625"/>
      <c r="S562" s="1640">
        <f>SUM(S556:T561)</f>
        <v>256151</v>
      </c>
      <c r="T562" s="1640"/>
      <c r="U562" s="1625"/>
      <c r="V562" s="1739">
        <f>SUM(V556:V561)</f>
        <v>0</v>
      </c>
      <c r="W562" s="1329"/>
      <c r="X562" s="1329"/>
    </row>
    <row r="563" spans="1:24">
      <c r="A563" s="1625"/>
      <c r="B563" s="1622" t="s">
        <v>616</v>
      </c>
      <c r="C563" s="1633"/>
      <c r="D563" s="1625"/>
      <c r="E563" s="1625"/>
      <c r="F563" s="1625"/>
      <c r="G563" s="1625"/>
      <c r="H563" s="1780"/>
      <c r="I563" s="1780"/>
      <c r="J563" s="1640"/>
      <c r="K563" s="1640"/>
      <c r="L563" s="1625"/>
      <c r="M563" s="1640"/>
      <c r="N563" s="1640"/>
      <c r="O563" s="1743" t="str">
        <f>B563</f>
        <v>OTHER COSTS</v>
      </c>
      <c r="P563" s="1640"/>
      <c r="Q563" s="1640"/>
      <c r="R563" s="1625"/>
      <c r="S563" s="1640"/>
      <c r="T563" s="1640"/>
      <c r="U563" s="1625"/>
      <c r="V563" s="1739"/>
      <c r="W563" s="1625" t="str">
        <f>B563</f>
        <v>OTHER COSTS</v>
      </c>
      <c r="X563" s="1625"/>
    </row>
    <row r="564" spans="1:24">
      <c r="A564" s="1625"/>
      <c r="B564" s="1625" t="s">
        <v>617</v>
      </c>
      <c r="C564" s="1633"/>
      <c r="D564" s="1625"/>
      <c r="E564" s="1625"/>
      <c r="F564" s="1625"/>
      <c r="G564" s="1640">
        <f>'Part IV-A-Uses of Funds'!G128</f>
        <v>0</v>
      </c>
      <c r="H564" s="1640">
        <f>'Part IV-A-Uses of Funds'!H128</f>
        <v>0</v>
      </c>
      <c r="I564" s="1625"/>
      <c r="J564" s="1640">
        <f>'Part IV-A-Uses of Funds'!J128</f>
        <v>0</v>
      </c>
      <c r="K564" s="1640">
        <f>'Part IV-A-Uses of Funds'!K128</f>
        <v>0</v>
      </c>
      <c r="L564" s="1743"/>
      <c r="M564" s="1640">
        <f>'Part IV-A-Uses of Funds'!M128</f>
        <v>0</v>
      </c>
      <c r="N564" s="1640">
        <f>'Part IV-A-Uses of Funds'!N128</f>
        <v>0</v>
      </c>
      <c r="O564" s="1625"/>
      <c r="P564" s="1640">
        <f>'Part IV-A-Uses of Funds'!P128</f>
        <v>0</v>
      </c>
      <c r="Q564" s="1640">
        <f>'Part IV-A-Uses of Funds'!Q128</f>
        <v>0</v>
      </c>
      <c r="R564" s="1625"/>
      <c r="S564" s="1640">
        <f>'Part IV-A-Uses of Funds'!S128</f>
        <v>0</v>
      </c>
      <c r="T564" s="1640">
        <f>'Part IV-A-Uses of Funds'!T128</f>
        <v>0</v>
      </c>
      <c r="U564" s="1625"/>
      <c r="V564" s="1739"/>
      <c r="W564" s="1329"/>
      <c r="X564" s="1329"/>
    </row>
    <row r="565" spans="1:24" ht="16.5" customHeight="1">
      <c r="A565" s="1740" t="str">
        <f>IF(AND(G565&gt;0,OR(C565="",C565="&lt;Enter detailed description here; use Comments section if needed&gt;")),"X","")</f>
        <v/>
      </c>
      <c r="B565" s="1625" t="s">
        <v>749</v>
      </c>
      <c r="C565" s="1643" t="str">
        <f>'Part IV-A-Uses of Funds'!C129</f>
        <v>File Compliances Reviews</v>
      </c>
      <c r="D565" s="1643">
        <f>'Part IV-A-Uses of Funds'!D129</f>
        <v>0</v>
      </c>
      <c r="E565" s="1643">
        <f>'Part IV-A-Uses of Funds'!E129</f>
        <v>0</v>
      </c>
      <c r="F565" s="1643">
        <f>'Part IV-A-Uses of Funds'!F129</f>
        <v>0</v>
      </c>
      <c r="G565" s="1640">
        <f>'Part IV-A-Uses of Funds'!G129</f>
        <v>3000</v>
      </c>
      <c r="H565" s="1640">
        <f>'Part IV-A-Uses of Funds'!H129</f>
        <v>0</v>
      </c>
      <c r="I565" s="1625"/>
      <c r="J565" s="1640">
        <f>'Part IV-A-Uses of Funds'!J129</f>
        <v>0</v>
      </c>
      <c r="K565" s="1640">
        <f>'Part IV-A-Uses of Funds'!K129</f>
        <v>0</v>
      </c>
      <c r="L565" s="1655"/>
      <c r="M565" s="1640">
        <f>'Part IV-A-Uses of Funds'!M129</f>
        <v>0</v>
      </c>
      <c r="N565" s="1640">
        <f>'Part IV-A-Uses of Funds'!N129</f>
        <v>0</v>
      </c>
      <c r="O565" s="1625"/>
      <c r="P565" s="1640">
        <f>'Part IV-A-Uses of Funds'!P129</f>
        <v>0</v>
      </c>
      <c r="Q565" s="1640">
        <f>'Part IV-A-Uses of Funds'!Q129</f>
        <v>0</v>
      </c>
      <c r="R565" s="1625"/>
      <c r="S565" s="1640">
        <f>'Part IV-A-Uses of Funds'!S129</f>
        <v>3000</v>
      </c>
      <c r="T565" s="1640">
        <f>'Part IV-A-Uses of Funds'!T129</f>
        <v>0</v>
      </c>
      <c r="U565" s="1626" t="str">
        <f>IF(AND(G565&gt;0,OR(C565="",C565="&lt;Enter detailed description here; use Comments section if needed&gt;")),"NO DESCRIPTION PROVIDED - please enter detailed description in Other box at left; use Comments section below if needed.","")</f>
        <v/>
      </c>
      <c r="V565" s="1739"/>
      <c r="W565" s="1329"/>
      <c r="X565" s="1329"/>
    </row>
    <row r="566" spans="1:24">
      <c r="A566" s="1625"/>
      <c r="B566" s="1625"/>
      <c r="C566" s="1633"/>
      <c r="D566" s="1625"/>
      <c r="E566" s="1625"/>
      <c r="F566" s="1742" t="s">
        <v>193</v>
      </c>
      <c r="G566" s="1640">
        <f>SUM(G564:H565)</f>
        <v>3000</v>
      </c>
      <c r="H566" s="1640"/>
      <c r="I566" s="1625"/>
      <c r="J566" s="1640">
        <f>SUM(J564:K565)</f>
        <v>0</v>
      </c>
      <c r="K566" s="1640"/>
      <c r="L566" s="1655"/>
      <c r="M566" s="1640">
        <f>SUM(M564:N565)</f>
        <v>0</v>
      </c>
      <c r="N566" s="1640"/>
      <c r="O566" s="1625"/>
      <c r="P566" s="1640">
        <f>SUM(P564:Q565)</f>
        <v>0</v>
      </c>
      <c r="Q566" s="1640"/>
      <c r="R566" s="1625"/>
      <c r="S566" s="1640">
        <f>SUM(S564:T565)</f>
        <v>3000</v>
      </c>
      <c r="T566" s="1640"/>
      <c r="U566" s="1625"/>
      <c r="V566" s="1739">
        <f>SUM(V564:V565)</f>
        <v>0</v>
      </c>
      <c r="W566" s="1329"/>
      <c r="X566" s="1329"/>
    </row>
    <row r="567" spans="1:24">
      <c r="A567" s="1625"/>
      <c r="B567" s="1625"/>
      <c r="C567" s="1633"/>
      <c r="D567" s="1625"/>
      <c r="E567" s="1625"/>
      <c r="F567" s="1625"/>
      <c r="G567" s="1625"/>
      <c r="H567" s="1780"/>
      <c r="I567" s="1780"/>
      <c r="J567" s="1625"/>
      <c r="K567" s="1625"/>
      <c r="L567" s="1625"/>
      <c r="M567" s="1625"/>
      <c r="N567" s="1625"/>
      <c r="O567" s="1625"/>
      <c r="P567" s="1625"/>
      <c r="Q567" s="1625"/>
      <c r="R567" s="1625"/>
      <c r="S567" s="1625"/>
      <c r="T567" s="1625"/>
      <c r="U567" s="1625"/>
      <c r="V567" s="1739"/>
      <c r="W567" s="1775"/>
      <c r="X567" s="1775"/>
    </row>
    <row r="568" spans="1:24">
      <c r="A568" s="1625"/>
      <c r="B568" s="1626" t="s">
        <v>4765</v>
      </c>
      <c r="C568" s="1625"/>
      <c r="D568" s="1625"/>
      <c r="E568" s="1625"/>
      <c r="F568" s="1625"/>
      <c r="G568" s="1781">
        <f>G453+G459+G463+G469+G474+G477+G483+G500+G513+G519+G527+G541+G547+G554+G562+G566</f>
        <v>13639318</v>
      </c>
      <c r="H568" s="1781"/>
      <c r="I568" s="1625"/>
      <c r="J568" s="1781">
        <f>J453+J459+J463+J469+J474+J477+J483+J500+J513+J519+J527+J541+J547+J554+J562+J566</f>
        <v>13071128</v>
      </c>
      <c r="K568" s="1781"/>
      <c r="L568" s="1625"/>
      <c r="M568" s="1781">
        <f>M453+M459+M463+M469+M474+M477+M483+M500+M513+M519+M527+M541+M547+M554+M562+M566</f>
        <v>0</v>
      </c>
      <c r="N568" s="1781"/>
      <c r="O568" s="1625"/>
      <c r="P568" s="1781">
        <f>P453+P459+P463+P469+P474+P477+P483+P500+P513+P519+P527+P541+P547+P554+P562+P566</f>
        <v>0</v>
      </c>
      <c r="Q568" s="1781"/>
      <c r="R568" s="1625"/>
      <c r="S568" s="1781">
        <f>S453+S459+S463+S469+S474+S477+S483+S500+S513+S519+S527+S541+S547+S554+S562+S566</f>
        <v>616190</v>
      </c>
      <c r="T568" s="1781"/>
      <c r="U568" s="1625"/>
      <c r="V568" s="1739">
        <f>V453+V459+V463+V469+V474+V477+V483+V500+V513+V519+V527+V541+V547+V554+V562+V566</f>
        <v>0</v>
      </c>
      <c r="W568" s="1329"/>
      <c r="X568" s="1329"/>
    </row>
    <row r="569" spans="1:24">
      <c r="A569" s="1625"/>
      <c r="B569" s="1625"/>
      <c r="C569" s="1633"/>
      <c r="D569" s="1625"/>
      <c r="E569" s="1625"/>
      <c r="F569" s="1625"/>
      <c r="G569" s="1625"/>
      <c r="H569" s="1780"/>
      <c r="I569" s="1780"/>
      <c r="J569" s="1625"/>
      <c r="K569" s="1625"/>
      <c r="L569" s="1625"/>
      <c r="M569" s="1625"/>
      <c r="N569" s="1625"/>
      <c r="O569" s="1625"/>
      <c r="P569" s="1625"/>
      <c r="Q569" s="1625"/>
      <c r="R569" s="1625"/>
      <c r="S569" s="1625"/>
      <c r="T569" s="1625"/>
      <c r="U569" s="1625"/>
      <c r="V569" s="1739"/>
      <c r="W569" s="1625"/>
      <c r="X569" s="1625"/>
    </row>
    <row r="570" spans="1:24">
      <c r="A570" s="1625"/>
      <c r="B570" s="1782" t="s">
        <v>4766</v>
      </c>
      <c r="C570" s="1754"/>
      <c r="D570" s="1783">
        <f>IF('Part VI-Revenues &amp; Expenses'!$O$62=0,0,G568/'Part VI-Revenues &amp; Expenses'!$O$62)</f>
        <v>209835.66153846154</v>
      </c>
      <c r="E570" s="1783"/>
      <c r="F570" s="1770" t="s">
        <v>2781</v>
      </c>
      <c r="G570" s="1783">
        <f>IF('Part I-Project Information'!$P$71=0,0,G568/'Part I-Project Information'!$P$71)</f>
        <v>156.04198700347794</v>
      </c>
      <c r="H570" s="1783"/>
      <c r="I570" s="1784"/>
      <c r="J570" s="1625"/>
      <c r="K570" s="1625"/>
      <c r="L570" s="1625"/>
      <c r="M570" s="1625"/>
      <c r="N570" s="1625"/>
      <c r="O570" s="1625"/>
      <c r="P570" s="1625"/>
      <c r="Q570" s="1625"/>
      <c r="R570" s="1625"/>
      <c r="S570" s="1625"/>
      <c r="T570" s="1625"/>
      <c r="U570" s="1625"/>
      <c r="V570" s="1739"/>
      <c r="W570" s="1625"/>
      <c r="X570" s="1625"/>
    </row>
    <row r="571" spans="1:24">
      <c r="A571" s="1625"/>
      <c r="B571" s="1625"/>
      <c r="C571" s="1625"/>
      <c r="D571" s="1625"/>
      <c r="E571" s="1625"/>
      <c r="F571" s="1625"/>
      <c r="G571" s="1625"/>
      <c r="H571" s="1625"/>
      <c r="I571" s="1784"/>
      <c r="J571" s="1625"/>
      <c r="K571" s="1625"/>
      <c r="L571" s="1784"/>
      <c r="M571" s="1625"/>
      <c r="N571" s="1625"/>
      <c r="O571" s="1625"/>
      <c r="P571" s="1625"/>
      <c r="Q571" s="1625"/>
      <c r="R571" s="1625"/>
      <c r="S571" s="1625"/>
      <c r="T571" s="1625"/>
      <c r="U571" s="1625"/>
      <c r="V571" s="1739"/>
      <c r="W571" s="1625"/>
      <c r="X571" s="1625"/>
    </row>
    <row r="572" spans="1:24">
      <c r="A572" s="1625"/>
      <c r="B572" s="1625"/>
      <c r="C572" s="1625"/>
      <c r="D572" s="1633"/>
      <c r="E572" s="1633"/>
      <c r="F572" s="1625"/>
      <c r="G572" s="1625"/>
      <c r="H572" s="1625"/>
      <c r="I572" s="1780"/>
      <c r="J572" s="1780"/>
      <c r="K572" s="1785"/>
      <c r="L572" s="1633"/>
      <c r="M572" s="1625"/>
      <c r="N572" s="1625"/>
      <c r="O572" s="1625"/>
      <c r="P572" s="1625"/>
      <c r="Q572" s="1625"/>
      <c r="R572" s="1625"/>
      <c r="S572" s="1625"/>
      <c r="T572" s="1625"/>
      <c r="U572" s="1625"/>
      <c r="V572" s="1739"/>
      <c r="W572" s="1625"/>
      <c r="X572" s="1625"/>
    </row>
    <row r="573" spans="1:24" ht="16.5" customHeight="1">
      <c r="A573" s="1736" t="s">
        <v>748</v>
      </c>
      <c r="B573" s="1786" t="s">
        <v>1438</v>
      </c>
      <c r="C573" s="1623"/>
      <c r="D573" s="1655"/>
      <c r="E573" s="1655"/>
      <c r="F573" s="1655"/>
      <c r="G573" s="1625"/>
      <c r="H573" s="1625"/>
      <c r="I573" s="1787"/>
      <c r="J573" s="1624" t="s">
        <v>273</v>
      </c>
      <c r="K573" s="1624"/>
      <c r="L573" s="1625"/>
      <c r="M573" s="1624" t="s">
        <v>101</v>
      </c>
      <c r="N573" s="1624"/>
      <c r="O573" s="1625"/>
      <c r="P573" s="1624" t="s">
        <v>274</v>
      </c>
      <c r="Q573" s="1624"/>
      <c r="R573" s="1625"/>
      <c r="S573" s="1625"/>
      <c r="T573" s="1625"/>
      <c r="U573" s="1625"/>
      <c r="V573" s="1739"/>
      <c r="W573" s="1738" t="str">
        <f>B573</f>
        <v>TAX CREDIT CALCULATION - BASIS METHOD</v>
      </c>
      <c r="X573" s="1625"/>
    </row>
    <row r="574" spans="1:24">
      <c r="A574" s="1625"/>
      <c r="B574" s="1626" t="s">
        <v>2060</v>
      </c>
      <c r="C574" s="1625"/>
      <c r="D574" s="1655"/>
      <c r="E574" s="1655"/>
      <c r="F574" s="1625"/>
      <c r="G574" s="1625"/>
      <c r="H574" s="1625"/>
      <c r="I574" s="1787"/>
      <c r="J574" s="1624"/>
      <c r="K574" s="1624"/>
      <c r="L574" s="1623"/>
      <c r="M574" s="1624"/>
      <c r="N574" s="1624"/>
      <c r="O574" s="1625"/>
      <c r="P574" s="1624"/>
      <c r="Q574" s="1624"/>
      <c r="R574" s="1625"/>
      <c r="S574" s="1625"/>
      <c r="T574" s="1625"/>
      <c r="U574" s="1625"/>
      <c r="V574" s="1739"/>
      <c r="W574" s="1625" t="str">
        <f>B574</f>
        <v>Subtractions From Eligible Basis</v>
      </c>
      <c r="X574" s="1675"/>
    </row>
    <row r="575" spans="1:24">
      <c r="A575" s="1625"/>
      <c r="B575" s="1625"/>
      <c r="C575" s="1625"/>
      <c r="D575" s="1633"/>
      <c r="E575" s="1633"/>
      <c r="F575" s="1625"/>
      <c r="G575" s="1625"/>
      <c r="H575" s="1625"/>
      <c r="I575" s="1780"/>
      <c r="J575" s="1780"/>
      <c r="K575" s="1785"/>
      <c r="L575" s="1633"/>
      <c r="M575" s="1625"/>
      <c r="N575" s="1625"/>
      <c r="O575" s="1625"/>
      <c r="P575" s="1625"/>
      <c r="Q575" s="1625"/>
      <c r="R575" s="1625"/>
      <c r="S575" s="1625"/>
      <c r="T575" s="1625"/>
      <c r="U575" s="1625"/>
      <c r="V575" s="1739"/>
      <c r="W575" s="1625"/>
      <c r="X575" s="1625"/>
    </row>
    <row r="576" spans="1:24">
      <c r="A576" s="1625"/>
      <c r="B576" s="1633" t="s">
        <v>145</v>
      </c>
      <c r="C576" s="1625"/>
      <c r="D576" s="1625"/>
      <c r="E576" s="1625"/>
      <c r="F576" s="1625"/>
      <c r="G576" s="1625"/>
      <c r="H576" s="1625"/>
      <c r="I576" s="1787"/>
      <c r="J576" s="1720">
        <f>'Part IV-A-Uses of Funds'!J140</f>
        <v>0</v>
      </c>
      <c r="K576" s="1720">
        <f>'Part IV-A-Uses of Funds'!K140</f>
        <v>0</v>
      </c>
      <c r="L576" s="1625"/>
      <c r="M576" s="1625"/>
      <c r="N576" s="1625"/>
      <c r="O576" s="1625"/>
      <c r="P576" s="1720">
        <f>'Part IV-A-Uses of Funds'!P140</f>
        <v>0</v>
      </c>
      <c r="Q576" s="1720">
        <f>'Part IV-A-Uses of Funds'!Q140</f>
        <v>0</v>
      </c>
      <c r="R576" s="1625"/>
      <c r="S576" s="1625"/>
      <c r="T576" s="1625"/>
      <c r="U576" s="1625"/>
      <c r="V576" s="1739"/>
      <c r="W576" s="1329"/>
      <c r="X576" s="1329"/>
    </row>
    <row r="577" spans="1:24">
      <c r="A577" s="1625"/>
      <c r="B577" s="1625" t="s">
        <v>2168</v>
      </c>
      <c r="C577" s="1625"/>
      <c r="D577" s="1625"/>
      <c r="E577" s="1625"/>
      <c r="F577" s="1625"/>
      <c r="G577" s="1625"/>
      <c r="H577" s="1625"/>
      <c r="I577" s="1787"/>
      <c r="J577" s="1720">
        <f>'Part IV-A-Uses of Funds'!J141</f>
        <v>0</v>
      </c>
      <c r="K577" s="1720">
        <f>'Part IV-A-Uses of Funds'!K141</f>
        <v>0</v>
      </c>
      <c r="L577" s="1625"/>
      <c r="M577" s="1625"/>
      <c r="N577" s="1625"/>
      <c r="O577" s="1625"/>
      <c r="P577" s="1720">
        <f>'Part IV-A-Uses of Funds'!P141</f>
        <v>0</v>
      </c>
      <c r="Q577" s="1720">
        <f>'Part IV-A-Uses of Funds'!Q141</f>
        <v>0</v>
      </c>
      <c r="R577" s="1625"/>
      <c r="S577" s="1625"/>
      <c r="T577" s="1625"/>
      <c r="U577" s="1625"/>
      <c r="V577" s="1739"/>
      <c r="W577" s="1329"/>
      <c r="X577" s="1329"/>
    </row>
    <row r="578" spans="1:24">
      <c r="A578" s="1625"/>
      <c r="B578" s="1625" t="s">
        <v>1877</v>
      </c>
      <c r="C578" s="1625"/>
      <c r="D578" s="1625"/>
      <c r="E578" s="1625"/>
      <c r="F578" s="1625"/>
      <c r="G578" s="1625"/>
      <c r="H578" s="1625"/>
      <c r="I578" s="1787"/>
      <c r="J578" s="1720">
        <f>'Part IV-A-Uses of Funds'!J142</f>
        <v>0</v>
      </c>
      <c r="K578" s="1720">
        <f>'Part IV-A-Uses of Funds'!K142</f>
        <v>0</v>
      </c>
      <c r="L578" s="1625"/>
      <c r="M578" s="1625"/>
      <c r="N578" s="1625"/>
      <c r="O578" s="1625"/>
      <c r="P578" s="1720">
        <f>'Part IV-A-Uses of Funds'!P142</f>
        <v>0</v>
      </c>
      <c r="Q578" s="1720">
        <f>'Part IV-A-Uses of Funds'!Q142</f>
        <v>0</v>
      </c>
      <c r="R578" s="1625"/>
      <c r="S578" s="1625"/>
      <c r="T578" s="1625"/>
      <c r="U578" s="1625"/>
      <c r="V578" s="1739"/>
      <c r="W578" s="1329"/>
      <c r="X578" s="1329"/>
    </row>
    <row r="579" spans="1:24">
      <c r="A579" s="1625"/>
      <c r="B579" s="1625" t="s">
        <v>1878</v>
      </c>
      <c r="C579" s="1625"/>
      <c r="D579" s="1625"/>
      <c r="E579" s="1625"/>
      <c r="F579" s="1625"/>
      <c r="G579" s="1625"/>
      <c r="H579" s="1625"/>
      <c r="I579" s="1787"/>
      <c r="J579" s="1720">
        <f>'Part IV-A-Uses of Funds'!J143</f>
        <v>0</v>
      </c>
      <c r="K579" s="1720">
        <f>'Part IV-A-Uses of Funds'!K143</f>
        <v>0</v>
      </c>
      <c r="L579" s="1625"/>
      <c r="M579" s="1625"/>
      <c r="N579" s="1625"/>
      <c r="O579" s="1625"/>
      <c r="P579" s="1720">
        <f>'Part IV-A-Uses of Funds'!P143</f>
        <v>0</v>
      </c>
      <c r="Q579" s="1720">
        <f>'Part IV-A-Uses of Funds'!Q143</f>
        <v>0</v>
      </c>
      <c r="R579" s="1625"/>
      <c r="S579" s="1625"/>
      <c r="T579" s="1625"/>
      <c r="U579" s="1625"/>
      <c r="V579" s="1739"/>
      <c r="W579" s="1329"/>
      <c r="X579" s="1329"/>
    </row>
    <row r="580" spans="1:24">
      <c r="A580" s="1625"/>
      <c r="B580" s="1625" t="s">
        <v>256</v>
      </c>
      <c r="C580" s="1625"/>
      <c r="D580" s="1625"/>
      <c r="E580" s="1625"/>
      <c r="F580" s="1625"/>
      <c r="G580" s="1625"/>
      <c r="H580" s="1625"/>
      <c r="I580" s="1787"/>
      <c r="J580" s="1720">
        <f>'Part IV-A-Uses of Funds'!J144</f>
        <v>0</v>
      </c>
      <c r="K580" s="1720">
        <f>'Part IV-A-Uses of Funds'!K144</f>
        <v>0</v>
      </c>
      <c r="L580" s="1625"/>
      <c r="M580" s="1625"/>
      <c r="N580" s="1625"/>
      <c r="O580" s="1625"/>
      <c r="P580" s="1720">
        <f>'Part IV-A-Uses of Funds'!P144</f>
        <v>0</v>
      </c>
      <c r="Q580" s="1720">
        <f>'Part IV-A-Uses of Funds'!Q144</f>
        <v>0</v>
      </c>
      <c r="R580" s="1625"/>
      <c r="S580" s="1625"/>
      <c r="T580" s="1625"/>
      <c r="U580" s="1625"/>
      <c r="V580" s="1739"/>
      <c r="W580" s="1329"/>
      <c r="X580" s="1329"/>
    </row>
    <row r="581" spans="1:24" ht="13.5" customHeight="1">
      <c r="A581" s="1625"/>
      <c r="B581" s="1625" t="s">
        <v>1613</v>
      </c>
      <c r="C581" s="1704" t="str">
        <f>'Part IV-A-Uses of Funds'!C145</f>
        <v>&lt;Enter detailed description here; use Comments section if needed&gt;</v>
      </c>
      <c r="D581" s="1704">
        <f>'Part IV-A-Uses of Funds'!D145</f>
        <v>0</v>
      </c>
      <c r="E581" s="1704">
        <f>'Part IV-A-Uses of Funds'!E145</f>
        <v>0</v>
      </c>
      <c r="F581" s="1704">
        <f>'Part IV-A-Uses of Funds'!F145</f>
        <v>0</v>
      </c>
      <c r="G581" s="1704">
        <f>'Part IV-A-Uses of Funds'!G145</f>
        <v>0</v>
      </c>
      <c r="H581" s="1704">
        <f>'Part IV-A-Uses of Funds'!H145</f>
        <v>0</v>
      </c>
      <c r="I581" s="1704">
        <f>'Part IV-A-Uses of Funds'!I145</f>
        <v>0</v>
      </c>
      <c r="J581" s="1720">
        <f>'Part IV-A-Uses of Funds'!J145</f>
        <v>0</v>
      </c>
      <c r="K581" s="1720">
        <f>'Part IV-A-Uses of Funds'!K145</f>
        <v>0</v>
      </c>
      <c r="L581" s="1625"/>
      <c r="M581" s="1625"/>
      <c r="N581" s="1625"/>
      <c r="O581" s="1625"/>
      <c r="P581" s="1720">
        <f>'Part IV-A-Uses of Funds'!P145</f>
        <v>0</v>
      </c>
      <c r="Q581" s="1720">
        <f>'Part IV-A-Uses of Funds'!Q145</f>
        <v>0</v>
      </c>
      <c r="R581" s="1625"/>
      <c r="S581" s="1625"/>
      <c r="T581" s="1625"/>
      <c r="U581" s="1625"/>
      <c r="V581" s="1739"/>
      <c r="W581" s="1329"/>
      <c r="X581" s="1329"/>
    </row>
    <row r="582" spans="1:24">
      <c r="A582" s="1625"/>
      <c r="B582" s="1622" t="s">
        <v>1879</v>
      </c>
      <c r="C582" s="1654"/>
      <c r="D582" s="1625"/>
      <c r="E582" s="1625"/>
      <c r="F582" s="1625"/>
      <c r="G582" s="1625"/>
      <c r="H582" s="1625"/>
      <c r="I582" s="1625"/>
      <c r="J582" s="1720">
        <f>SUM(J576:K581)</f>
        <v>0</v>
      </c>
      <c r="K582" s="1720"/>
      <c r="L582" s="1625"/>
      <c r="M582" s="1625"/>
      <c r="N582" s="1625"/>
      <c r="O582" s="1625"/>
      <c r="P582" s="1720">
        <f>SUM(P576:Q581)</f>
        <v>0</v>
      </c>
      <c r="Q582" s="1720"/>
      <c r="R582" s="1625"/>
      <c r="S582" s="1625"/>
      <c r="T582" s="1625"/>
      <c r="U582" s="1625"/>
      <c r="V582" s="1739">
        <f>SUM(V576:V581)</f>
        <v>0</v>
      </c>
      <c r="W582" s="1329"/>
      <c r="X582" s="1329"/>
    </row>
    <row r="583" spans="1:24">
      <c r="A583" s="1625"/>
      <c r="B583" s="1625"/>
      <c r="C583" s="1625"/>
      <c r="D583" s="1625"/>
      <c r="E583" s="1625"/>
      <c r="F583" s="1625"/>
      <c r="G583" s="1625"/>
      <c r="H583" s="1625"/>
      <c r="I583" s="1625"/>
      <c r="J583" s="1625"/>
      <c r="K583" s="1625"/>
      <c r="L583" s="1625"/>
      <c r="M583" s="1625"/>
      <c r="N583" s="1625"/>
      <c r="O583" s="1625"/>
      <c r="P583" s="1625"/>
      <c r="Q583" s="1625"/>
      <c r="R583" s="1625"/>
      <c r="S583" s="1625"/>
      <c r="T583" s="1625"/>
      <c r="U583" s="1625"/>
      <c r="V583" s="1739"/>
      <c r="W583" s="1625"/>
      <c r="X583" s="1625"/>
    </row>
    <row r="584" spans="1:24">
      <c r="A584" s="1625"/>
      <c r="B584" s="1622" t="s">
        <v>2356</v>
      </c>
      <c r="C584" s="1625"/>
      <c r="D584" s="1625"/>
      <c r="E584" s="1625"/>
      <c r="F584" s="1625"/>
      <c r="G584" s="1625"/>
      <c r="H584" s="1625"/>
      <c r="I584" s="1625"/>
      <c r="J584" s="1625"/>
      <c r="K584" s="1625"/>
      <c r="L584" s="1625"/>
      <c r="M584" s="1625"/>
      <c r="N584" s="1625"/>
      <c r="O584" s="1625"/>
      <c r="P584" s="1625"/>
      <c r="Q584" s="1625"/>
      <c r="R584" s="1625"/>
      <c r="S584" s="1625"/>
      <c r="T584" s="1625"/>
      <c r="U584" s="1625"/>
      <c r="V584" s="1739"/>
      <c r="W584" s="1625" t="str">
        <f>B584</f>
        <v>Eligible Basis Calculation</v>
      </c>
      <c r="X584" s="1625"/>
    </row>
    <row r="585" spans="1:24">
      <c r="A585" s="1625"/>
      <c r="B585" s="1625" t="s">
        <v>1803</v>
      </c>
      <c r="C585" s="1625"/>
      <c r="D585" s="1625"/>
      <c r="E585" s="1625"/>
      <c r="F585" s="1625"/>
      <c r="G585" s="1625"/>
      <c r="H585" s="1625"/>
      <c r="I585" s="1625"/>
      <c r="J585" s="1661">
        <f>J568</f>
        <v>13071128</v>
      </c>
      <c r="K585" s="1661"/>
      <c r="L585" s="1625"/>
      <c r="M585" s="1661">
        <f>M568</f>
        <v>0</v>
      </c>
      <c r="N585" s="1661"/>
      <c r="O585" s="1625"/>
      <c r="P585" s="1661">
        <f>P568</f>
        <v>0</v>
      </c>
      <c r="Q585" s="1661"/>
      <c r="R585" s="1625"/>
      <c r="S585" s="1625"/>
      <c r="T585" s="1625"/>
      <c r="U585" s="1625"/>
      <c r="V585" s="1739"/>
      <c r="W585" s="1329"/>
      <c r="X585" s="1329"/>
    </row>
    <row r="586" spans="1:24">
      <c r="A586" s="1625"/>
      <c r="B586" s="1625" t="s">
        <v>2236</v>
      </c>
      <c r="C586" s="1625"/>
      <c r="D586" s="1625"/>
      <c r="E586" s="1625"/>
      <c r="F586" s="1625"/>
      <c r="G586" s="1625"/>
      <c r="H586" s="1625"/>
      <c r="I586" s="1625"/>
      <c r="J586" s="1661">
        <f>J582</f>
        <v>0</v>
      </c>
      <c r="K586" s="1661"/>
      <c r="L586" s="1625"/>
      <c r="M586" s="1661"/>
      <c r="N586" s="1661"/>
      <c r="O586" s="1625"/>
      <c r="P586" s="1661">
        <f>P582</f>
        <v>0</v>
      </c>
      <c r="Q586" s="1661"/>
      <c r="R586" s="1625"/>
      <c r="S586" s="1625"/>
      <c r="T586" s="1625"/>
      <c r="U586" s="1625"/>
      <c r="V586" s="1739"/>
      <c r="W586" s="1329"/>
      <c r="X586" s="1329"/>
    </row>
    <row r="587" spans="1:24">
      <c r="A587" s="1625"/>
      <c r="B587" s="1625" t="s">
        <v>2237</v>
      </c>
      <c r="C587" s="1625"/>
      <c r="D587" s="1625"/>
      <c r="E587" s="1625"/>
      <c r="F587" s="1625"/>
      <c r="G587" s="1625"/>
      <c r="H587" s="1625"/>
      <c r="I587" s="1625"/>
      <c r="J587" s="1661">
        <f>J585-J586</f>
        <v>13071128</v>
      </c>
      <c r="K587" s="1661"/>
      <c r="L587" s="1625"/>
      <c r="M587" s="1661">
        <f>M585</f>
        <v>0</v>
      </c>
      <c r="N587" s="1661"/>
      <c r="O587" s="1625"/>
      <c r="P587" s="1661">
        <f>P585-P586</f>
        <v>0</v>
      </c>
      <c r="Q587" s="1661"/>
      <c r="R587" s="1625"/>
      <c r="S587" s="1625"/>
      <c r="T587" s="1625"/>
      <c r="U587" s="1625"/>
      <c r="V587" s="1739"/>
      <c r="W587" s="1329"/>
      <c r="X587" s="1329"/>
    </row>
    <row r="588" spans="1:24">
      <c r="A588" s="1625"/>
      <c r="B588" s="1625" t="s">
        <v>1497</v>
      </c>
      <c r="C588" s="1625"/>
      <c r="D588" s="1625"/>
      <c r="E588" s="1625"/>
      <c r="F588" s="1625"/>
      <c r="G588" s="1630" t="s">
        <v>1727</v>
      </c>
      <c r="H588" s="1625" t="str">
        <f>'Part IV-A-Uses of Funds'!H152</f>
        <v>DDA/QCT</v>
      </c>
      <c r="I588" s="1625">
        <f>'Part IV-A-Uses of Funds'!I152</f>
        <v>0</v>
      </c>
      <c r="J588" s="1788">
        <f>'Part IV-A-Uses of Funds'!J152</f>
        <v>1.3</v>
      </c>
      <c r="K588" s="1788">
        <f>'Part IV-A-Uses of Funds'!K152</f>
        <v>0</v>
      </c>
      <c r="L588" s="1625"/>
      <c r="M588" s="1788"/>
      <c r="N588" s="1788"/>
      <c r="O588" s="1625"/>
      <c r="P588" s="1788">
        <f>'Part IV-A-Uses of Funds'!P152</f>
        <v>0</v>
      </c>
      <c r="Q588" s="1788">
        <f>'Part IV-A-Uses of Funds'!Q152</f>
        <v>0</v>
      </c>
      <c r="R588" s="1625"/>
      <c r="S588" s="1625"/>
      <c r="T588" s="1625"/>
      <c r="U588" s="1625"/>
      <c r="V588" s="1739"/>
      <c r="W588" s="1329"/>
      <c r="X588" s="1329"/>
    </row>
    <row r="589" spans="1:24">
      <c r="A589" s="1625"/>
      <c r="B589" s="1625" t="s">
        <v>2070</v>
      </c>
      <c r="C589" s="1625"/>
      <c r="D589" s="1625"/>
      <c r="E589" s="1625"/>
      <c r="F589" s="1625"/>
      <c r="G589" s="1625"/>
      <c r="H589" s="1625"/>
      <c r="I589" s="1625"/>
      <c r="J589" s="1661">
        <f>J587*J588</f>
        <v>16992466.400000002</v>
      </c>
      <c r="K589" s="1661"/>
      <c r="L589" s="1625"/>
      <c r="M589" s="1661">
        <f>+M587</f>
        <v>0</v>
      </c>
      <c r="N589" s="1661"/>
      <c r="O589" s="1625"/>
      <c r="P589" s="1661">
        <f>P587*P588</f>
        <v>0</v>
      </c>
      <c r="Q589" s="1661"/>
      <c r="R589" s="1625"/>
      <c r="S589" s="1625"/>
      <c r="T589" s="1625"/>
      <c r="U589" s="1625"/>
      <c r="V589" s="1739"/>
      <c r="W589" s="1329"/>
      <c r="X589" s="1329"/>
    </row>
    <row r="590" spans="1:24">
      <c r="A590" s="1625"/>
      <c r="B590" s="1625" t="s">
        <v>2558</v>
      </c>
      <c r="C590" s="1625"/>
      <c r="D590" s="1625"/>
      <c r="E590" s="1625"/>
      <c r="F590" s="1625"/>
      <c r="G590" s="1625"/>
      <c r="H590" s="1625"/>
      <c r="I590" s="1625"/>
      <c r="J590" s="1789">
        <f>MIN('Part VI-Revenues &amp; Expenses'!$O$58/'Part VI-Revenues &amp; Expenses'!$O$60,'Part VI-Revenues &amp; Expenses'!$O$115/'Part VI-Revenues &amp; Expenses'!$O$117)</f>
        <v>1</v>
      </c>
      <c r="K590" s="1789"/>
      <c r="L590" s="1625"/>
      <c r="M590" s="1789">
        <f>MIN('Part VI-Revenues &amp; Expenses'!$O$58/'Part VI-Revenues &amp; Expenses'!$O$60,'Part VI-Revenues &amp; Expenses'!$O$115/'Part VI-Revenues &amp; Expenses'!$O$117)</f>
        <v>1</v>
      </c>
      <c r="N590" s="1789"/>
      <c r="O590" s="1625"/>
      <c r="P590" s="1789">
        <f>MIN('Part VI-Revenues &amp; Expenses'!$O$58/'Part VI-Revenues &amp; Expenses'!$O$60,'Part VI-Revenues &amp; Expenses'!$O$115/'Part VI-Revenues &amp; Expenses'!$O$117)</f>
        <v>1</v>
      </c>
      <c r="Q590" s="1789"/>
      <c r="R590" s="1625"/>
      <c r="S590" s="1625"/>
      <c r="T590" s="1625"/>
      <c r="U590" s="1625"/>
      <c r="V590" s="1739"/>
      <c r="W590" s="1329"/>
      <c r="X590" s="1329"/>
    </row>
    <row r="591" spans="1:24">
      <c r="A591" s="1625"/>
      <c r="B591" s="1625" t="s">
        <v>2061</v>
      </c>
      <c r="C591" s="1625"/>
      <c r="D591" s="1625"/>
      <c r="E591" s="1625"/>
      <c r="F591" s="1625"/>
      <c r="G591" s="1625"/>
      <c r="H591" s="1625"/>
      <c r="I591" s="1625"/>
      <c r="J591" s="1661">
        <f>J589*J590</f>
        <v>16992466.400000002</v>
      </c>
      <c r="K591" s="1661"/>
      <c r="L591" s="1625"/>
      <c r="M591" s="1661">
        <f>M589*M590</f>
        <v>0</v>
      </c>
      <c r="N591" s="1661"/>
      <c r="O591" s="1625"/>
      <c r="P591" s="1661">
        <f>P589*P590</f>
        <v>0</v>
      </c>
      <c r="Q591" s="1661"/>
      <c r="R591" s="1625"/>
      <c r="S591" s="1625"/>
      <c r="T591" s="1625"/>
      <c r="U591" s="1625"/>
      <c r="V591" s="1739"/>
      <c r="W591" s="1329"/>
      <c r="X591" s="1329"/>
    </row>
    <row r="592" spans="1:24">
      <c r="A592" s="1625"/>
      <c r="B592" s="1625" t="s">
        <v>2062</v>
      </c>
      <c r="C592" s="1625"/>
      <c r="D592" s="1625"/>
      <c r="E592" s="1625"/>
      <c r="F592" s="1625"/>
      <c r="G592" s="1625"/>
      <c r="H592" s="1625"/>
      <c r="I592" s="1625"/>
      <c r="J592" s="1788">
        <f>'Part IV-A-Uses of Funds'!J156</f>
        <v>0.09</v>
      </c>
      <c r="K592" s="1788">
        <f>'Part IV-A-Uses of Funds'!K156</f>
        <v>0</v>
      </c>
      <c r="L592" s="1625"/>
      <c r="M592" s="1788">
        <f>'Part IV-A-Uses of Funds'!M156</f>
        <v>0</v>
      </c>
      <c r="N592" s="1788">
        <f>'Part IV-A-Uses of Funds'!N156</f>
        <v>0</v>
      </c>
      <c r="O592" s="1625"/>
      <c r="P592" s="1788">
        <f>'Part IV-A-Uses of Funds'!P156</f>
        <v>0</v>
      </c>
      <c r="Q592" s="1788">
        <f>'Part IV-A-Uses of Funds'!Q156</f>
        <v>0</v>
      </c>
      <c r="R592" s="1625"/>
      <c r="S592" s="1625"/>
      <c r="T592" s="1625"/>
      <c r="U592" s="1625"/>
      <c r="V592" s="1739"/>
      <c r="W592" s="1329"/>
      <c r="X592" s="1329"/>
    </row>
    <row r="593" spans="1:24">
      <c r="A593" s="1625"/>
      <c r="B593" s="1625" t="s">
        <v>2559</v>
      </c>
      <c r="C593" s="1625"/>
      <c r="D593" s="1625"/>
      <c r="E593" s="1625"/>
      <c r="F593" s="1625"/>
      <c r="G593" s="1625"/>
      <c r="H593" s="1625"/>
      <c r="I593" s="1625"/>
      <c r="J593" s="1661">
        <f>J591*J592</f>
        <v>1529321.9760000003</v>
      </c>
      <c r="K593" s="1661"/>
      <c r="L593" s="1625"/>
      <c r="M593" s="1661">
        <f>M591*M592</f>
        <v>0</v>
      </c>
      <c r="N593" s="1661"/>
      <c r="O593" s="1625"/>
      <c r="P593" s="1661">
        <f>P591*P592</f>
        <v>0</v>
      </c>
      <c r="Q593" s="1661"/>
      <c r="R593" s="1625"/>
      <c r="S593" s="1625"/>
      <c r="T593" s="1625"/>
      <c r="U593" s="1625"/>
      <c r="V593" s="1739"/>
      <c r="W593" s="1329"/>
      <c r="X593" s="1329"/>
    </row>
    <row r="594" spans="1:24">
      <c r="A594" s="1625"/>
      <c r="B594" s="1622" t="s">
        <v>1436</v>
      </c>
      <c r="C594" s="1625"/>
      <c r="D594" s="1625"/>
      <c r="E594" s="1625"/>
      <c r="F594" s="1625"/>
      <c r="G594" s="1625"/>
      <c r="H594" s="1625"/>
      <c r="I594" s="1625"/>
      <c r="J594" s="1720">
        <f>J593+M593+P593</f>
        <v>1529321.9760000003</v>
      </c>
      <c r="K594" s="1720"/>
      <c r="L594" s="1720"/>
      <c r="M594" s="1720"/>
      <c r="N594" s="1720"/>
      <c r="O594" s="1720"/>
      <c r="P594" s="1720"/>
      <c r="Q594" s="1720"/>
      <c r="R594" s="1625"/>
      <c r="S594" s="1625"/>
      <c r="T594" s="1625"/>
      <c r="U594" s="1625"/>
      <c r="V594" s="1739"/>
      <c r="W594" s="1775"/>
      <c r="X594" s="1775"/>
    </row>
    <row r="595" spans="1:24">
      <c r="A595" s="1625"/>
      <c r="B595" s="1790"/>
      <c r="C595" s="1625"/>
      <c r="D595" s="1625"/>
      <c r="E595" s="1625"/>
      <c r="F595" s="1625"/>
      <c r="G595" s="1625"/>
      <c r="H595" s="1625"/>
      <c r="I595" s="1625"/>
      <c r="J595" s="1625"/>
      <c r="K595" s="1625"/>
      <c r="L595" s="1726"/>
      <c r="M595" s="1726"/>
      <c r="N595" s="1726"/>
      <c r="O595" s="1726"/>
      <c r="P595" s="1625"/>
      <c r="Q595" s="1625"/>
      <c r="R595" s="1625"/>
      <c r="S595" s="1625"/>
      <c r="T595" s="1625"/>
      <c r="U595" s="1625"/>
      <c r="V595" s="1739"/>
      <c r="W595" s="1625"/>
      <c r="X595" s="1625"/>
    </row>
    <row r="596" spans="1:24" ht="16.5">
      <c r="A596" s="1738" t="s">
        <v>750</v>
      </c>
      <c r="B596" s="1738" t="s">
        <v>1439</v>
      </c>
      <c r="C596" s="1625"/>
      <c r="D596" s="1625"/>
      <c r="E596" s="1625"/>
      <c r="F596" s="1625"/>
      <c r="G596" s="1625"/>
      <c r="H596" s="1780"/>
      <c r="I596" s="1780"/>
      <c r="J596" s="1625"/>
      <c r="K596" s="1625"/>
      <c r="L596" s="1625"/>
      <c r="M596" s="1791"/>
      <c r="N596" s="1625"/>
      <c r="O596" s="1625"/>
      <c r="P596" s="1625"/>
      <c r="Q596" s="1625"/>
      <c r="R596" s="1625"/>
      <c r="S596" s="1625"/>
      <c r="T596" s="1625"/>
      <c r="U596" s="1625"/>
      <c r="V596" s="1739"/>
      <c r="W596" s="1625"/>
      <c r="X596" s="1625"/>
    </row>
    <row r="597" spans="1:24" ht="16.5">
      <c r="A597" s="1625"/>
      <c r="B597" s="1622" t="s">
        <v>175</v>
      </c>
      <c r="C597" s="1625"/>
      <c r="D597" s="1625"/>
      <c r="E597" s="1625"/>
      <c r="F597" s="1625"/>
      <c r="G597" s="1625"/>
      <c r="H597" s="1637"/>
      <c r="I597" s="1625"/>
      <c r="J597" s="1625"/>
      <c r="K597" s="1625"/>
      <c r="L597" s="1625"/>
      <c r="M597" s="1791"/>
      <c r="N597" s="1625"/>
      <c r="O597" s="1625"/>
      <c r="P597" s="1625"/>
      <c r="Q597" s="1625"/>
      <c r="R597" s="1625"/>
      <c r="S597" s="1625"/>
      <c r="T597" s="1625"/>
      <c r="U597" s="1625"/>
      <c r="V597" s="1739"/>
      <c r="W597" s="1738" t="str">
        <f>B596</f>
        <v>TAX CREDIT CALCULATION - GAP METHOD</v>
      </c>
      <c r="X597" s="1625"/>
    </row>
    <row r="598" spans="1:24" ht="13.5" customHeight="1">
      <c r="A598" s="1625"/>
      <c r="B598" s="1627" t="s">
        <v>4767</v>
      </c>
      <c r="C598" s="1625"/>
      <c r="D598" s="1625"/>
      <c r="E598" s="1625"/>
      <c r="F598" s="1625"/>
      <c r="G598" s="1748" t="str">
        <f>IF(J599&gt;J598,"TDC exceeds QAP PUCL!","")</f>
        <v/>
      </c>
      <c r="H598" s="1748"/>
      <c r="I598" s="1748"/>
      <c r="J598" s="1718">
        <f>'Part VIII-Threshold Criteria'!$P$63</f>
        <v>13663801</v>
      </c>
      <c r="K598" s="1718"/>
      <c r="L598" s="1718"/>
      <c r="M598" s="1792" t="s">
        <v>2764</v>
      </c>
      <c r="N598" s="1792"/>
      <c r="O598" s="1792"/>
      <c r="P598" s="1792"/>
      <c r="Q598" s="1792"/>
      <c r="R598" s="1792"/>
      <c r="S598" s="1792" t="s">
        <v>3701</v>
      </c>
      <c r="T598" s="1792"/>
      <c r="U598" s="1625"/>
      <c r="V598" s="1739"/>
      <c r="W598" s="1329"/>
      <c r="X598" s="1329"/>
    </row>
    <row r="599" spans="1:24">
      <c r="A599" s="1625"/>
      <c r="B599" s="1625" t="s">
        <v>4768</v>
      </c>
      <c r="C599" s="1625"/>
      <c r="D599" s="1625"/>
      <c r="E599" s="1625"/>
      <c r="F599" s="1625"/>
      <c r="G599" s="1625"/>
      <c r="H599" s="1625"/>
      <c r="I599" s="1625"/>
      <c r="J599" s="1661">
        <f>'Part IV-A-Uses of Funds'!J163</f>
        <v>13639318</v>
      </c>
      <c r="K599" s="1661">
        <f>'Part IV-A-Uses of Funds'!K163</f>
        <v>0</v>
      </c>
      <c r="L599" s="1661">
        <f>'Part IV-A-Uses of Funds'!L163</f>
        <v>0</v>
      </c>
      <c r="M599" s="1792"/>
      <c r="N599" s="1792"/>
      <c r="O599" s="1792"/>
      <c r="P599" s="1792"/>
      <c r="Q599" s="1792"/>
      <c r="R599" s="1792"/>
      <c r="S599" s="1792"/>
      <c r="T599" s="1792"/>
      <c r="U599" s="1625"/>
      <c r="V599" s="1739"/>
      <c r="W599" s="1329"/>
      <c r="X599" s="1329"/>
    </row>
    <row r="600" spans="1:24">
      <c r="A600" s="1625"/>
      <c r="B600" s="1625" t="s">
        <v>265</v>
      </c>
      <c r="C600" s="1625"/>
      <c r="D600" s="1625"/>
      <c r="E600" s="1625"/>
      <c r="F600" s="1625"/>
      <c r="G600" s="1625"/>
      <c r="H600" s="1625"/>
      <c r="I600" s="1625"/>
      <c r="J600" s="1661">
        <f>'Part III-Sources of Funds'!$I$58-'Part III-Sources of Funds'!$I$41-'Part III-Sources of Funds'!$I$42-'Part III-Sources of Funds'!$I$49-'Part III-Sources of Funds'!$I$50</f>
        <v>1400000</v>
      </c>
      <c r="K600" s="1661"/>
      <c r="L600" s="1661"/>
      <c r="M600" s="1792"/>
      <c r="N600" s="1792"/>
      <c r="O600" s="1792"/>
      <c r="P600" s="1792"/>
      <c r="Q600" s="1792"/>
      <c r="R600" s="1792"/>
      <c r="S600" s="1792"/>
      <c r="T600" s="1792"/>
      <c r="U600" s="1625"/>
      <c r="V600" s="1739"/>
      <c r="W600" s="1329"/>
      <c r="X600" s="1329"/>
    </row>
    <row r="601" spans="1:24" ht="13.5">
      <c r="A601" s="1625"/>
      <c r="B601" s="1625" t="s">
        <v>2248</v>
      </c>
      <c r="C601" s="1625"/>
      <c r="D601" s="1625"/>
      <c r="E601" s="1625"/>
      <c r="F601" s="1625"/>
      <c r="G601" s="1625"/>
      <c r="H601" s="1625"/>
      <c r="I601" s="1625"/>
      <c r="J601" s="1661">
        <f>+J599-J600</f>
        <v>12239318</v>
      </c>
      <c r="K601" s="1661"/>
      <c r="L601" s="1661"/>
      <c r="M601" s="1637" t="s">
        <v>2765</v>
      </c>
      <c r="N601" s="1637"/>
      <c r="O601" s="1793">
        <f>'Part III-Sources of Funds'!$I$41</f>
        <v>0</v>
      </c>
      <c r="P601" s="1793"/>
      <c r="Q601" s="1793"/>
      <c r="R601" s="1793"/>
      <c r="S601" s="1794" t="s">
        <v>1675</v>
      </c>
      <c r="T601" s="1795" t="str">
        <f>'Part IV-A-Uses of Funds'!T165</f>
        <v>No</v>
      </c>
      <c r="U601" s="1625"/>
      <c r="V601" s="1739"/>
      <c r="W601" s="1329"/>
      <c r="X601" s="1329"/>
    </row>
    <row r="602" spans="1:24" ht="13.5">
      <c r="A602" s="1625"/>
      <c r="B602" s="1625" t="s">
        <v>1298</v>
      </c>
      <c r="C602" s="1625"/>
      <c r="D602" s="1625"/>
      <c r="E602" s="1625"/>
      <c r="F602" s="1625"/>
      <c r="G602" s="1625"/>
      <c r="H602" s="1625"/>
      <c r="I602" s="1625"/>
      <c r="J602" s="1625" t="str">
        <f>"/ 10"</f>
        <v>/ 10</v>
      </c>
      <c r="K602" s="1625"/>
      <c r="L602" s="1625"/>
      <c r="M602" s="1625"/>
      <c r="N602" s="1793"/>
      <c r="O602" s="1793"/>
      <c r="P602" s="1793"/>
      <c r="Q602" s="1793"/>
      <c r="R602" s="1793"/>
      <c r="S602" s="1625"/>
      <c r="T602" s="1625"/>
      <c r="U602" s="1625"/>
      <c r="V602" s="1739"/>
      <c r="W602" s="1329"/>
      <c r="X602" s="1329"/>
    </row>
    <row r="603" spans="1:24">
      <c r="A603" s="1625"/>
      <c r="B603" s="1625" t="s">
        <v>1299</v>
      </c>
      <c r="C603" s="1625"/>
      <c r="D603" s="1625"/>
      <c r="E603" s="1625"/>
      <c r="F603" s="1625"/>
      <c r="G603" s="1625"/>
      <c r="H603" s="1625"/>
      <c r="I603" s="1625"/>
      <c r="J603" s="1661">
        <f>J601/10</f>
        <v>1223931.8</v>
      </c>
      <c r="K603" s="1661"/>
      <c r="L603" s="1661"/>
      <c r="M603" s="1632"/>
      <c r="N603" s="1625" t="s">
        <v>1300</v>
      </c>
      <c r="O603" s="1625"/>
      <c r="P603" s="1625"/>
      <c r="Q603" s="1625" t="s">
        <v>1812</v>
      </c>
      <c r="R603" s="1625"/>
      <c r="S603" s="1625"/>
      <c r="T603" s="1625"/>
      <c r="U603" s="1625"/>
      <c r="V603" s="1739"/>
      <c r="W603" s="1329"/>
      <c r="X603" s="1329"/>
    </row>
    <row r="604" spans="1:24">
      <c r="A604" s="1625"/>
      <c r="B604" s="1625" t="s">
        <v>4769</v>
      </c>
      <c r="C604" s="1625"/>
      <c r="D604" s="1625"/>
      <c r="E604" s="1625"/>
      <c r="F604" s="1625"/>
      <c r="G604" s="1625"/>
      <c r="H604" s="1625"/>
      <c r="I604" s="1625"/>
      <c r="J604" s="1796">
        <f>N604+Q604</f>
        <v>1.4</v>
      </c>
      <c r="K604" s="1796"/>
      <c r="L604" s="1796"/>
      <c r="M604" s="1630" t="s">
        <v>1301</v>
      </c>
      <c r="N604" s="1797">
        <f>'Part IV-A-Uses of Funds'!N168</f>
        <v>0.85</v>
      </c>
      <c r="O604" s="1797">
        <f>'Part IV-A-Uses of Funds'!O168</f>
        <v>0</v>
      </c>
      <c r="P604" s="1630" t="s">
        <v>618</v>
      </c>
      <c r="Q604" s="1797">
        <f>'Part IV-A-Uses of Funds'!Q168</f>
        <v>0.55000000000000004</v>
      </c>
      <c r="R604" s="1797">
        <f>'Part IV-A-Uses of Funds'!R168</f>
        <v>0</v>
      </c>
      <c r="S604" s="1625"/>
      <c r="T604" s="1625"/>
      <c r="U604" s="1625"/>
      <c r="V604" s="1739"/>
      <c r="W604" s="1329"/>
      <c r="X604" s="1329"/>
    </row>
    <row r="605" spans="1:24">
      <c r="A605" s="1625"/>
      <c r="B605" s="1622" t="s">
        <v>1437</v>
      </c>
      <c r="C605" s="1625"/>
      <c r="D605" s="1625"/>
      <c r="E605" s="1625"/>
      <c r="F605" s="1625"/>
      <c r="G605" s="1625"/>
      <c r="H605" s="1625"/>
      <c r="I605" s="1625"/>
      <c r="J605" s="1720">
        <f>IF(J604=0,"",J603/J604)</f>
        <v>874237.00000000012</v>
      </c>
      <c r="K605" s="1720"/>
      <c r="L605" s="1720"/>
      <c r="M605" s="1632"/>
      <c r="N605" s="1625"/>
      <c r="O605" s="1625"/>
      <c r="P605" s="1625"/>
      <c r="Q605" s="1625"/>
      <c r="R605" s="1625"/>
      <c r="S605" s="1625"/>
      <c r="T605" s="1625"/>
      <c r="U605" s="1625"/>
      <c r="V605" s="1739"/>
      <c r="W605" s="1329"/>
      <c r="X605" s="1329"/>
    </row>
    <row r="606" spans="1:24">
      <c r="A606" s="1625"/>
      <c r="B606" s="1625"/>
      <c r="C606" s="1625"/>
      <c r="D606" s="1625"/>
      <c r="E606" s="1625"/>
      <c r="F606" s="1625"/>
      <c r="G606" s="1625"/>
      <c r="H606" s="1625"/>
      <c r="I606" s="1625"/>
      <c r="J606" s="1798"/>
      <c r="K606" s="1798"/>
      <c r="L606" s="1798"/>
      <c r="M606" s="1632"/>
      <c r="N606" s="1630"/>
      <c r="O606" s="1630"/>
      <c r="P606" s="1625"/>
      <c r="Q606" s="1625"/>
      <c r="R606" s="1625"/>
      <c r="S606" s="1625"/>
      <c r="T606" s="1625"/>
      <c r="U606" s="1625"/>
      <c r="V606" s="1739"/>
      <c r="W606" s="1329"/>
      <c r="X606" s="1329"/>
    </row>
    <row r="607" spans="1:24">
      <c r="A607" s="1625"/>
      <c r="B607" s="1622" t="s">
        <v>4770</v>
      </c>
      <c r="C607" s="1625"/>
      <c r="D607" s="1625"/>
      <c r="E607" s="1625"/>
      <c r="F607" s="1625"/>
      <c r="G607" s="1625"/>
      <c r="H607" s="1625"/>
      <c r="I607" s="1625"/>
      <c r="J607" s="1720">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874237.00000000012</v>
      </c>
      <c r="K607" s="1720"/>
      <c r="L607" s="1720"/>
      <c r="M607" s="1632"/>
      <c r="N607" s="1630"/>
      <c r="O607" s="1630"/>
      <c r="P607" s="1625"/>
      <c r="Q607" s="1625"/>
      <c r="R607" s="1625"/>
      <c r="S607" s="1625"/>
      <c r="T607" s="1625"/>
      <c r="U607" s="1625"/>
      <c r="V607" s="1739"/>
      <c r="W607" s="1329"/>
      <c r="X607" s="1329"/>
    </row>
    <row r="608" spans="1:24">
      <c r="A608" s="1625"/>
      <c r="B608" s="1625"/>
      <c r="C608" s="1625"/>
      <c r="D608" s="1625"/>
      <c r="E608" s="1625"/>
      <c r="F608" s="1625"/>
      <c r="G608" s="1625"/>
      <c r="H608" s="1625"/>
      <c r="I608" s="1625"/>
      <c r="J608" s="1798"/>
      <c r="K608" s="1798"/>
      <c r="L608" s="1798"/>
      <c r="M608" s="1632"/>
      <c r="N608" s="1630"/>
      <c r="O608" s="1630"/>
      <c r="P608" s="1625"/>
      <c r="Q608" s="1625"/>
      <c r="R608" s="1625"/>
      <c r="S608" s="1625"/>
      <c r="T608" s="1625"/>
      <c r="U608" s="1625"/>
      <c r="V608" s="1739"/>
      <c r="W608" s="1775"/>
      <c r="X608" s="1775"/>
    </row>
    <row r="609" spans="1:24">
      <c r="A609" s="1625"/>
      <c r="B609" s="1622" t="s">
        <v>4771</v>
      </c>
      <c r="C609" s="1625"/>
      <c r="D609" s="1625"/>
      <c r="E609" s="1625"/>
      <c r="F609" s="1625"/>
      <c r="G609" s="1625"/>
      <c r="H609" s="1625"/>
      <c r="I609" s="1625"/>
      <c r="J609" s="1720">
        <f>'Part IV-A-Uses of Funds'!J173</f>
        <v>874237</v>
      </c>
      <c r="K609" s="1720">
        <f>'Part IV-A-Uses of Funds'!K173</f>
        <v>0</v>
      </c>
      <c r="L609" s="1720">
        <f>'Part IV-A-Uses of Funds'!L173</f>
        <v>0</v>
      </c>
      <c r="M609" s="1626" t="str">
        <f>IF(J607=0,"",IF(J609&gt;J607,"ALLOCATION CANNOT EXCEED MAXIMUM - REVISE REQUEST!",""))</f>
        <v/>
      </c>
      <c r="N609" s="1630"/>
      <c r="O609" s="1630"/>
      <c r="P609" s="1625"/>
      <c r="Q609" s="1625"/>
      <c r="R609" s="1625"/>
      <c r="S609" s="1625"/>
      <c r="T609" s="1625"/>
      <c r="U609" s="1625"/>
      <c r="V609" s="1739"/>
      <c r="W609" s="1329"/>
      <c r="X609" s="1329"/>
    </row>
    <row r="610" spans="1:24">
      <c r="A610" s="1625"/>
      <c r="B610" s="1625"/>
      <c r="C610" s="1625"/>
      <c r="D610" s="1625"/>
      <c r="E610" s="1625"/>
      <c r="F610" s="1625"/>
      <c r="G610" s="1625"/>
      <c r="H610" s="1625"/>
      <c r="I610" s="1625"/>
      <c r="J610" s="1798"/>
      <c r="K610" s="1798"/>
      <c r="L610" s="1798"/>
      <c r="M610" s="1632"/>
      <c r="N610" s="1630"/>
      <c r="O610" s="1630"/>
      <c r="P610" s="1625"/>
      <c r="Q610" s="1625"/>
      <c r="R610" s="1625"/>
      <c r="S610" s="1625"/>
      <c r="T610" s="1625"/>
      <c r="U610" s="1625"/>
      <c r="V610" s="1739"/>
      <c r="W610" s="1775"/>
      <c r="X610" s="1775"/>
    </row>
    <row r="611" spans="1:24" ht="16.5">
      <c r="A611" s="1738" t="s">
        <v>1805</v>
      </c>
      <c r="B611" s="1738" t="s">
        <v>4772</v>
      </c>
      <c r="C611" s="1625"/>
      <c r="D611" s="1632"/>
      <c r="E611" s="1632"/>
      <c r="F611" s="1633"/>
      <c r="G611" s="1625"/>
      <c r="H611" s="1625"/>
      <c r="I611" s="1625"/>
      <c r="J611" s="1720">
        <f>IF(J609="",0,+MIN(J607,J609))</f>
        <v>874237</v>
      </c>
      <c r="K611" s="1720"/>
      <c r="L611" s="1720"/>
      <c r="M611" s="1625"/>
      <c r="N611" s="1656"/>
      <c r="O611" s="1656"/>
      <c r="P611" s="1656"/>
      <c r="Q611" s="1656"/>
      <c r="R611" s="1656"/>
      <c r="S611" s="1656"/>
      <c r="T611" s="1656"/>
      <c r="U611" s="1625"/>
      <c r="V611" s="1739"/>
      <c r="W611" s="1329"/>
      <c r="X611" s="1329"/>
    </row>
    <row r="612" spans="1:24">
      <c r="A612" s="1632"/>
      <c r="B612" s="1632"/>
      <c r="C612" s="1632"/>
      <c r="D612" s="1632"/>
      <c r="E612" s="1632"/>
      <c r="F612" s="1632"/>
      <c r="G612" s="1632"/>
      <c r="H612" s="1632"/>
      <c r="I612" s="1632"/>
      <c r="J612" s="1632"/>
      <c r="K612" s="1632"/>
      <c r="L612" s="1632"/>
      <c r="M612" s="1632"/>
      <c r="N612" s="1632"/>
      <c r="O612" s="1632"/>
      <c r="P612" s="1632"/>
      <c r="Q612" s="1632"/>
      <c r="R612" s="1632"/>
      <c r="S612" s="1632"/>
      <c r="T612" s="1632"/>
      <c r="U612" s="1632"/>
      <c r="V612" s="1632"/>
      <c r="W612" s="1632"/>
      <c r="X612" s="1632"/>
    </row>
    <row r="613" spans="1:24">
      <c r="A613" s="1632"/>
      <c r="B613" s="1632"/>
      <c r="C613" s="1632"/>
      <c r="D613" s="1632"/>
      <c r="E613" s="1632"/>
      <c r="F613" s="1632"/>
      <c r="G613" s="1632"/>
      <c r="H613" s="1632"/>
      <c r="I613" s="1632"/>
      <c r="J613" s="1632"/>
      <c r="K613" s="1632"/>
      <c r="L613" s="1632"/>
      <c r="M613" s="1632"/>
      <c r="N613" s="1632"/>
      <c r="O613" s="1632"/>
      <c r="P613" s="1632"/>
      <c r="Q613" s="1632"/>
      <c r="R613" s="1632"/>
      <c r="S613" s="1632"/>
      <c r="T613" s="1632"/>
      <c r="U613" s="1632"/>
      <c r="V613" s="1632"/>
      <c r="W613" s="1632"/>
      <c r="X613" s="1632"/>
    </row>
    <row r="614" spans="1:24">
      <c r="A614" s="1622" t="s">
        <v>1807</v>
      </c>
      <c r="B614" s="1673" t="s">
        <v>577</v>
      </c>
      <c r="C614" s="1632"/>
      <c r="D614" s="1632"/>
      <c r="E614" s="1632"/>
      <c r="F614" s="1632"/>
      <c r="G614" s="1632"/>
      <c r="H614" s="1632"/>
      <c r="I614" s="1632"/>
      <c r="J614" s="1632"/>
      <c r="K614" s="1632"/>
      <c r="L614" s="1632"/>
      <c r="M614" s="1632"/>
      <c r="N614" s="1622" t="s">
        <v>535</v>
      </c>
      <c r="O614" s="1622" t="s">
        <v>80</v>
      </c>
      <c r="P614" s="1632"/>
      <c r="Q614" s="1632"/>
      <c r="R614" s="1632"/>
      <c r="S614" s="1632"/>
      <c r="T614" s="1632"/>
      <c r="U614" s="1632"/>
      <c r="V614" s="1632"/>
      <c r="W614" s="1632"/>
      <c r="X614" s="1632"/>
    </row>
    <row r="615" spans="1:24" ht="15.75" customHeight="1">
      <c r="A615" s="1697" t="str">
        <f>'Part IV-A-Uses of Funds'!A179</f>
        <v>Construction Loan Fee:  0.5% fee on a projected $1.5 million Wells Fargo construction loan= $7500.  The Macon-Bibb UDA construction loan does not carry a loan fee.
The Construction interest is determined assuming a 18-month basis, for both Wells Fargo and Macon-Bibb UDA construction loans, with an average 50% of the loan amounts being drawn down throughout the term. The 18-month assumption is based on experience with earlier phases and other developments with Wells Fargo, drawing down loans after initial equity pay-ins, and paid off with later equity pay-ins. 
Since we will have a ground lease with the Macon Housing Authority, there are no land acquisition costs.
Professional fees and similar costs are based on our historical experience.
Construction hard costs are based on current market conditions and historial experience of our previous Tindall projects.</v>
      </c>
      <c r="B615" s="1697">
        <f>'Part IV-A-Uses of Funds'!B179</f>
        <v>0</v>
      </c>
      <c r="C615" s="1697">
        <f>'Part IV-A-Uses of Funds'!C179</f>
        <v>0</v>
      </c>
      <c r="D615" s="1697">
        <f>'Part IV-A-Uses of Funds'!D179</f>
        <v>0</v>
      </c>
      <c r="E615" s="1697">
        <f>'Part IV-A-Uses of Funds'!E179</f>
        <v>0</v>
      </c>
      <c r="F615" s="1697">
        <f>'Part IV-A-Uses of Funds'!F179</f>
        <v>0</v>
      </c>
      <c r="G615" s="1697">
        <f>'Part IV-A-Uses of Funds'!G179</f>
        <v>0</v>
      </c>
      <c r="H615" s="1697">
        <f>'Part IV-A-Uses of Funds'!H179</f>
        <v>0</v>
      </c>
      <c r="I615" s="1697">
        <f>'Part IV-A-Uses of Funds'!I179</f>
        <v>0</v>
      </c>
      <c r="J615" s="1697">
        <f>'Part IV-A-Uses of Funds'!J179</f>
        <v>0</v>
      </c>
      <c r="K615" s="1697">
        <f>'Part IV-A-Uses of Funds'!K179</f>
        <v>0</v>
      </c>
      <c r="L615" s="1697">
        <f>'Part IV-A-Uses of Funds'!L179</f>
        <v>0</v>
      </c>
      <c r="M615" s="1697">
        <f>'Part IV-A-Uses of Funds'!M179</f>
        <v>0</v>
      </c>
      <c r="N615" s="1697">
        <f>'Part IV-A-Uses of Funds'!N179</f>
        <v>0</v>
      </c>
      <c r="O615" s="1697">
        <f>'Part IV-A-Uses of Funds'!O179</f>
        <v>0</v>
      </c>
      <c r="P615" s="1697">
        <f>'Part IV-A-Uses of Funds'!P179</f>
        <v>0</v>
      </c>
      <c r="Q615" s="1697">
        <f>'Part IV-A-Uses of Funds'!Q179</f>
        <v>0</v>
      </c>
      <c r="R615" s="1697">
        <f>'Part IV-A-Uses of Funds'!R179</f>
        <v>0</v>
      </c>
      <c r="S615" s="1697">
        <f>'Part IV-A-Uses of Funds'!S179</f>
        <v>0</v>
      </c>
      <c r="T615" s="1697">
        <f>'Part IV-A-Uses of Funds'!T179</f>
        <v>0</v>
      </c>
      <c r="U615" s="1632"/>
      <c r="V615" s="1621"/>
      <c r="W615" s="1799" t="s">
        <v>2710</v>
      </c>
      <c r="X615" s="1799"/>
    </row>
    <row r="623" spans="1:24" ht="15.75">
      <c r="A623" s="1800" t="str">
        <f>CONCATENATE("PART FOUR (b) -  OTHER COSTS","  -  ",'Part I-Project Information'!$O$6," - ",'Part I-Project Information'!$F$34,"  -  ",'Part I-Project Information'!$F$38,"  -  ",'Part I-Project Information'!$J$39,",  ","County")</f>
        <v>PART FOUR (b) -  OTHER COSTS  -  2018-013 - Tindall Fields III  -  Macon  -  Bibb,  County</v>
      </c>
      <c r="B623" s="1800"/>
      <c r="C623" s="1800"/>
      <c r="D623" s="1800"/>
      <c r="E623" s="1800"/>
      <c r="F623" s="1800"/>
      <c r="G623" s="1800"/>
      <c r="H623" s="1800"/>
    </row>
    <row r="624" spans="1:24">
      <c r="A624" s="1801"/>
      <c r="B624" s="1801"/>
      <c r="C624" s="1801"/>
      <c r="D624" s="1801"/>
      <c r="E624" s="1801"/>
      <c r="F624" s="1801"/>
      <c r="G624" s="1801"/>
      <c r="H624" s="1801"/>
    </row>
    <row r="625" spans="1:8" ht="14.25" customHeight="1">
      <c r="A625" s="1802" t="s">
        <v>3740</v>
      </c>
      <c r="B625" s="1802"/>
      <c r="C625" s="1802"/>
      <c r="D625" s="1802"/>
      <c r="E625" s="1802"/>
      <c r="F625" s="1802"/>
      <c r="G625" s="1802"/>
      <c r="H625" s="1802"/>
    </row>
    <row r="626" spans="1:8">
      <c r="A626" s="1801"/>
      <c r="B626" s="1801"/>
      <c r="C626" s="1801"/>
      <c r="D626" s="1801"/>
      <c r="E626" s="1801"/>
      <c r="F626" s="1801"/>
      <c r="G626" s="1801"/>
      <c r="H626" s="1801"/>
    </row>
    <row r="627" spans="1:8" ht="90" customHeight="1">
      <c r="A627" s="1803" t="s">
        <v>4773</v>
      </c>
      <c r="B627" s="1803"/>
      <c r="C627" s="1803"/>
      <c r="D627" s="1803"/>
      <c r="E627" s="1801"/>
      <c r="F627" s="1804" t="s">
        <v>3731</v>
      </c>
      <c r="G627" s="1805"/>
      <c r="H627" s="1804" t="s">
        <v>3732</v>
      </c>
    </row>
    <row r="628" spans="1:8">
      <c r="A628" s="1805"/>
      <c r="B628" s="1805"/>
      <c r="C628" s="1805"/>
      <c r="D628" s="1805"/>
      <c r="E628" s="1801"/>
      <c r="F628" s="1801"/>
      <c r="G628" s="1801"/>
      <c r="H628" s="1801"/>
    </row>
    <row r="629" spans="1:8" ht="13.5">
      <c r="A629" s="1806"/>
      <c r="B629" s="1806"/>
      <c r="C629" s="1806"/>
      <c r="D629" s="1806"/>
      <c r="E629" s="1806"/>
      <c r="F629" s="1806"/>
      <c r="G629" s="1806"/>
      <c r="H629" s="1807"/>
    </row>
    <row r="630" spans="1:8">
      <c r="A630" s="1808" t="s">
        <v>103</v>
      </c>
      <c r="B630" s="1809"/>
      <c r="C630" s="1809"/>
      <c r="D630" s="1809"/>
      <c r="E630" s="1809"/>
      <c r="F630" s="1809"/>
      <c r="G630" s="1809"/>
      <c r="H630" s="1809"/>
    </row>
    <row r="631" spans="1:8" ht="13.5" customHeight="1">
      <c r="A631" s="1810" t="str">
        <f>'Part IV-A-Uses of Funds'!$C$14</f>
        <v>&lt;&lt; Enter description here; provide detail &amp; justification in tab Part IV-b &gt;&gt;</v>
      </c>
      <c r="B631" s="1810"/>
      <c r="C631" s="1810"/>
      <c r="D631" s="1810"/>
      <c r="E631" s="1807"/>
      <c r="F631" s="1811">
        <f>'Part IV-B-Other Items'!F9</f>
        <v>0</v>
      </c>
      <c r="G631" s="1809"/>
      <c r="H631" s="1811">
        <f>'Part IV-B-Other Items'!H9</f>
        <v>0</v>
      </c>
    </row>
    <row r="632" spans="1:8" ht="13.5">
      <c r="A632" s="1810"/>
      <c r="B632" s="1810"/>
      <c r="C632" s="1810"/>
      <c r="D632" s="1810"/>
      <c r="E632" s="1807"/>
      <c r="F632" s="1811"/>
      <c r="G632" s="1809"/>
      <c r="H632" s="1811"/>
    </row>
    <row r="633" spans="1:8" ht="13.5">
      <c r="A633" s="1807"/>
      <c r="B633" s="1807"/>
      <c r="C633" s="1807"/>
      <c r="D633" s="1807"/>
      <c r="E633" s="1807"/>
      <c r="F633" s="1811"/>
      <c r="G633" s="1809"/>
      <c r="H633" s="1811"/>
    </row>
    <row r="634" spans="1:8" ht="13.5">
      <c r="A634" s="1812" t="s">
        <v>3734</v>
      </c>
      <c r="B634" s="1813">
        <f>'Part IV-A-Uses of Funds'!$G$14</f>
        <v>0</v>
      </c>
      <c r="C634" s="1812" t="s">
        <v>1803</v>
      </c>
      <c r="D634" s="1813">
        <f>'Part IV-A-Uses of Funds'!$J$14+'Part IV-A-Uses of Funds'!$M$14+'Part IV-A-Uses of Funds'!$P$14</f>
        <v>0</v>
      </c>
      <c r="E634" s="1807"/>
      <c r="F634" s="1811"/>
      <c r="G634" s="1809"/>
      <c r="H634" s="1811"/>
    </row>
    <row r="635" spans="1:8" ht="13.5">
      <c r="A635" s="1809"/>
      <c r="B635" s="1814"/>
      <c r="C635" s="1809"/>
      <c r="D635" s="1809"/>
      <c r="E635" s="1807"/>
      <c r="F635" s="1811"/>
      <c r="G635" s="1815"/>
      <c r="H635" s="1811"/>
    </row>
    <row r="636" spans="1:8" ht="13.5" customHeight="1">
      <c r="A636" s="1810" t="str">
        <f>'Part IV-A-Uses of Funds'!$C$15</f>
        <v>&lt;&lt; Enter description here; provide detail &amp; justification in tab Part IV-b &gt;&gt;</v>
      </c>
      <c r="B636" s="1810"/>
      <c r="C636" s="1810"/>
      <c r="D636" s="1810"/>
      <c r="E636" s="1807"/>
      <c r="F636" s="1811">
        <f>'Part IV-B-Other Items'!F14</f>
        <v>0</v>
      </c>
      <c r="G636" s="1809"/>
      <c r="H636" s="1811">
        <f>'Part IV-B-Other Items'!H14</f>
        <v>0</v>
      </c>
    </row>
    <row r="637" spans="1:8" ht="13.5">
      <c r="A637" s="1810"/>
      <c r="B637" s="1810"/>
      <c r="C637" s="1810"/>
      <c r="D637" s="1810"/>
      <c r="E637" s="1807"/>
      <c r="F637" s="1811"/>
      <c r="G637" s="1809"/>
      <c r="H637" s="1811"/>
    </row>
    <row r="638" spans="1:8" ht="13.5">
      <c r="A638" s="1807"/>
      <c r="B638" s="1807"/>
      <c r="C638" s="1807"/>
      <c r="D638" s="1807"/>
      <c r="E638" s="1807"/>
      <c r="F638" s="1811"/>
      <c r="G638" s="1809"/>
      <c r="H638" s="1811"/>
    </row>
    <row r="639" spans="1:8" ht="13.5">
      <c r="A639" s="1812" t="s">
        <v>3734</v>
      </c>
      <c r="B639" s="1813">
        <f>'Part IV-A-Uses of Funds'!$G$15</f>
        <v>0</v>
      </c>
      <c r="C639" s="1812" t="s">
        <v>1803</v>
      </c>
      <c r="D639" s="1813">
        <f>'Part IV-A-Uses of Funds'!$J$15+'Part IV-A-Uses of Funds'!$M$15+'Part IV-A-Uses of Funds'!$P$15</f>
        <v>0</v>
      </c>
      <c r="E639" s="1807"/>
      <c r="F639" s="1811"/>
      <c r="G639" s="1809"/>
      <c r="H639" s="1811"/>
    </row>
    <row r="640" spans="1:8" ht="13.5">
      <c r="A640" s="1809"/>
      <c r="B640" s="1814"/>
      <c r="C640" s="1809"/>
      <c r="D640" s="1809"/>
      <c r="E640" s="1807"/>
      <c r="F640" s="1811"/>
      <c r="G640" s="1815"/>
      <c r="H640" s="1811"/>
    </row>
    <row r="641" spans="1:8" ht="13.5" customHeight="1">
      <c r="A641" s="1810" t="str">
        <f>'Part IV-A-Uses of Funds'!$C$16</f>
        <v>&lt;&lt; Enter description here; provide detail &amp; justification in tab Part IV-b &gt;&gt;</v>
      </c>
      <c r="B641" s="1810"/>
      <c r="C641" s="1810"/>
      <c r="D641" s="1810"/>
      <c r="E641" s="1807"/>
      <c r="F641" s="1811">
        <f>'Part IV-B-Other Items'!F19</f>
        <v>0</v>
      </c>
      <c r="G641" s="1809"/>
      <c r="H641" s="1811">
        <f>'Part IV-B-Other Items'!H19</f>
        <v>0</v>
      </c>
    </row>
    <row r="642" spans="1:8" ht="13.5">
      <c r="A642" s="1810"/>
      <c r="B642" s="1810"/>
      <c r="C642" s="1810"/>
      <c r="D642" s="1810"/>
      <c r="E642" s="1807"/>
      <c r="F642" s="1811"/>
      <c r="G642" s="1809"/>
      <c r="H642" s="1811"/>
    </row>
    <row r="643" spans="1:8" ht="13.5">
      <c r="A643" s="1807"/>
      <c r="B643" s="1807"/>
      <c r="C643" s="1807"/>
      <c r="D643" s="1807"/>
      <c r="E643" s="1807"/>
      <c r="F643" s="1811"/>
      <c r="G643" s="1809"/>
      <c r="H643" s="1811"/>
    </row>
    <row r="644" spans="1:8" ht="13.5">
      <c r="A644" s="1812" t="s">
        <v>3734</v>
      </c>
      <c r="B644" s="1813">
        <f>'Part IV-A-Uses of Funds'!$G$16</f>
        <v>0</v>
      </c>
      <c r="C644" s="1812" t="s">
        <v>1803</v>
      </c>
      <c r="D644" s="1813">
        <f>'Part IV-A-Uses of Funds'!$J$16+'Part IV-A-Uses of Funds'!$M$16+'Part IV-A-Uses of Funds'!$P$16</f>
        <v>0</v>
      </c>
      <c r="E644" s="1807"/>
      <c r="F644" s="1811"/>
      <c r="G644" s="1809"/>
      <c r="H644" s="1811"/>
    </row>
    <row r="645" spans="1:8" ht="13.5">
      <c r="A645" s="1809"/>
      <c r="B645" s="1814"/>
      <c r="C645" s="1809"/>
      <c r="D645" s="1809"/>
      <c r="E645" s="1807"/>
      <c r="F645" s="1811"/>
      <c r="G645" s="1815"/>
      <c r="H645" s="1811"/>
    </row>
    <row r="646" spans="1:8" ht="13.5">
      <c r="A646" s="1808" t="s">
        <v>3733</v>
      </c>
      <c r="B646" s="1809"/>
      <c r="C646" s="1809"/>
      <c r="D646" s="1809"/>
      <c r="E646" s="1809"/>
      <c r="F646" s="1809"/>
      <c r="G646" s="1809"/>
      <c r="H646" s="1807"/>
    </row>
    <row r="647" spans="1:8" ht="12.75" customHeight="1">
      <c r="A647" s="1810" t="str">
        <f>'Part IV-A-Uses of Funds'!$C$41</f>
        <v>&lt;&lt; Enter description here; provide detail &amp; justification in tab Part IV-b &gt;&gt;</v>
      </c>
      <c r="B647" s="1810"/>
      <c r="C647" s="1810"/>
      <c r="D647" s="1810"/>
      <c r="E647" s="1809"/>
      <c r="F647" s="1811">
        <f>'Part IV-B-Other Items'!F25</f>
        <v>0</v>
      </c>
      <c r="G647" s="1809"/>
      <c r="H647" s="1811">
        <f>'Part IV-B-Other Items'!H25</f>
        <v>0</v>
      </c>
    </row>
    <row r="648" spans="1:8" ht="12.75" customHeight="1">
      <c r="A648" s="1810"/>
      <c r="B648" s="1810"/>
      <c r="C648" s="1810"/>
      <c r="D648" s="1810"/>
      <c r="E648" s="1809"/>
      <c r="F648" s="1811"/>
      <c r="G648" s="1809"/>
      <c r="H648" s="1811"/>
    </row>
    <row r="649" spans="1:8">
      <c r="A649" s="1809"/>
      <c r="B649" s="1809"/>
      <c r="C649" s="1809"/>
      <c r="D649" s="1809"/>
      <c r="E649" s="1809"/>
      <c r="F649" s="1811"/>
      <c r="G649" s="1809"/>
      <c r="H649" s="1811"/>
    </row>
    <row r="650" spans="1:8">
      <c r="A650" s="1812" t="s">
        <v>3734</v>
      </c>
      <c r="B650" s="1813">
        <f>'Part IV-A-Uses of Funds'!$G$41</f>
        <v>0</v>
      </c>
      <c r="C650" s="1812" t="s">
        <v>1803</v>
      </c>
      <c r="D650" s="1813">
        <f>'Part IV-A-Uses of Funds'!$J$41+'Part IV-A-Uses of Funds'!$M$41+'Part IV-A-Uses of Funds'!$P$41</f>
        <v>0</v>
      </c>
      <c r="E650" s="1809"/>
      <c r="F650" s="1811"/>
      <c r="G650" s="1809"/>
      <c r="H650" s="1811"/>
    </row>
    <row r="651" spans="1:8">
      <c r="A651" s="1809"/>
      <c r="B651" s="1814"/>
      <c r="C651" s="1809"/>
      <c r="D651" s="1809"/>
      <c r="E651" s="1809"/>
      <c r="F651" s="1811"/>
      <c r="G651" s="1815"/>
      <c r="H651" s="1811"/>
    </row>
    <row r="652" spans="1:8" ht="13.5">
      <c r="A652" s="1808" t="s">
        <v>730</v>
      </c>
      <c r="B652" s="1809"/>
      <c r="C652" s="1809"/>
      <c r="D652" s="1809"/>
      <c r="E652" s="1809"/>
      <c r="F652" s="1809"/>
      <c r="G652" s="1809"/>
      <c r="H652" s="1807"/>
    </row>
    <row r="653" spans="1:8" ht="12.75" customHeight="1">
      <c r="A653" s="1810" t="str">
        <f>'Part IV-A-Uses of Funds'!$C$62</f>
        <v>Georgia Power Installation</v>
      </c>
      <c r="B653" s="1810"/>
      <c r="C653" s="1810"/>
      <c r="D653" s="1810"/>
      <c r="E653" s="1809"/>
      <c r="F653" s="1811" t="str">
        <f>'Part IV-B-Other Items'!F31</f>
        <v>This line item is for the installation of electrical infrastructure specifically for lighting on the property, paid to Georgia Power Company.</v>
      </c>
      <c r="G653" s="1809"/>
      <c r="H653" s="1811" t="str">
        <f>'Part IV-B-Other Items'!H31</f>
        <v>As this cost is properly depreciable with the buildings and related infrastructure, it is able to be included in eligible basis.</v>
      </c>
    </row>
    <row r="654" spans="1:8" ht="12.75" customHeight="1">
      <c r="A654" s="1810"/>
      <c r="B654" s="1810"/>
      <c r="C654" s="1810"/>
      <c r="D654" s="1810"/>
      <c r="E654" s="1809"/>
      <c r="F654" s="1811"/>
      <c r="G654" s="1809"/>
      <c r="H654" s="1811"/>
    </row>
    <row r="655" spans="1:8">
      <c r="A655" s="1809"/>
      <c r="B655" s="1809"/>
      <c r="C655" s="1809"/>
      <c r="D655" s="1809"/>
      <c r="E655" s="1809"/>
      <c r="F655" s="1811"/>
      <c r="G655" s="1809"/>
      <c r="H655" s="1811"/>
    </row>
    <row r="656" spans="1:8">
      <c r="A656" s="1812" t="s">
        <v>3734</v>
      </c>
      <c r="B656" s="1813">
        <f>'Part IV-A-Uses of Funds'!$G$62</f>
        <v>5000</v>
      </c>
      <c r="C656" s="1812" t="s">
        <v>1803</v>
      </c>
      <c r="D656" s="1813">
        <f>'Part IV-A-Uses of Funds'!$J$62+'Part IV-A-Uses of Funds'!$M$62+'Part IV-A-Uses of Funds'!$P$62</f>
        <v>5000</v>
      </c>
      <c r="E656" s="1809"/>
      <c r="F656" s="1811"/>
      <c r="G656" s="1809"/>
      <c r="H656" s="1811"/>
    </row>
    <row r="657" spans="1:8" ht="13.5">
      <c r="A657" s="1807"/>
      <c r="B657" s="1807"/>
      <c r="C657" s="1807"/>
      <c r="D657" s="1809"/>
      <c r="E657" s="1809"/>
      <c r="F657" s="1811"/>
      <c r="G657" s="1815"/>
      <c r="H657" s="1811"/>
    </row>
    <row r="658" spans="1:8" ht="12.75" customHeight="1">
      <c r="A658" s="1810" t="str">
        <f>'Part IV-A-Uses of Funds'!$C$63</f>
        <v>&lt;&lt; Enter description here; provide detail &amp; justification in tab Part IV-b &gt;&gt;</v>
      </c>
      <c r="B658" s="1810"/>
      <c r="C658" s="1810"/>
      <c r="D658" s="1810"/>
      <c r="E658" s="1809"/>
      <c r="F658" s="1811">
        <f>'Part IV-B-Other Items'!F36</f>
        <v>0</v>
      </c>
      <c r="G658" s="1809"/>
      <c r="H658" s="1811">
        <f>'Part IV-B-Other Items'!H36</f>
        <v>0</v>
      </c>
    </row>
    <row r="659" spans="1:8" ht="12.75" customHeight="1">
      <c r="A659" s="1810"/>
      <c r="B659" s="1810"/>
      <c r="C659" s="1810"/>
      <c r="D659" s="1810"/>
      <c r="E659" s="1809"/>
      <c r="F659" s="1811"/>
      <c r="G659" s="1809"/>
      <c r="H659" s="1811"/>
    </row>
    <row r="660" spans="1:8">
      <c r="A660" s="1809"/>
      <c r="B660" s="1809"/>
      <c r="C660" s="1809"/>
      <c r="D660" s="1809"/>
      <c r="E660" s="1809"/>
      <c r="F660" s="1811"/>
      <c r="G660" s="1809"/>
      <c r="H660" s="1811"/>
    </row>
    <row r="661" spans="1:8">
      <c r="A661" s="1812" t="s">
        <v>3734</v>
      </c>
      <c r="B661" s="1813">
        <f>'Part IV-A-Uses of Funds'!$G$63</f>
        <v>0</v>
      </c>
      <c r="C661" s="1812" t="s">
        <v>1803</v>
      </c>
      <c r="D661" s="1813">
        <f>'Part IV-A-Uses of Funds'!$J$63+'Part IV-A-Uses of Funds'!$M$63+'Part IV-A-Uses of Funds'!$P$63</f>
        <v>0</v>
      </c>
      <c r="E661" s="1809"/>
      <c r="F661" s="1811"/>
      <c r="G661" s="1809"/>
      <c r="H661" s="1811"/>
    </row>
    <row r="662" spans="1:8" ht="13.5">
      <c r="A662" s="1807"/>
      <c r="B662" s="1807"/>
      <c r="C662" s="1807"/>
      <c r="D662" s="1809"/>
      <c r="E662" s="1809"/>
      <c r="F662" s="1811"/>
      <c r="G662" s="1815"/>
      <c r="H662" s="1811"/>
    </row>
    <row r="663" spans="1:8" ht="13.5">
      <c r="A663" s="1808" t="s">
        <v>480</v>
      </c>
      <c r="B663" s="1809"/>
      <c r="C663" s="1809"/>
      <c r="D663" s="1809"/>
      <c r="E663" s="1816"/>
      <c r="F663" s="1816"/>
      <c r="G663" s="1809"/>
      <c r="H663" s="1807"/>
    </row>
    <row r="664" spans="1:8" ht="13.5" customHeight="1">
      <c r="A664" s="1810" t="str">
        <f>'Part IV-A-Uses of Funds'!$C$76</f>
        <v>&lt;&lt; Enter description here; provide detail &amp; justification in tab Part IV-b &gt;&gt;</v>
      </c>
      <c r="B664" s="1810"/>
      <c r="C664" s="1810"/>
      <c r="D664" s="1810"/>
      <c r="E664" s="1807"/>
      <c r="F664" s="1811">
        <f>'Part IV-B-Other Items'!F42</f>
        <v>0</v>
      </c>
      <c r="G664" s="1809"/>
      <c r="H664" s="1811">
        <f>'Part IV-B-Other Items'!H42</f>
        <v>0</v>
      </c>
    </row>
    <row r="665" spans="1:8" ht="12.75" customHeight="1">
      <c r="A665" s="1810"/>
      <c r="B665" s="1810"/>
      <c r="C665" s="1810"/>
      <c r="D665" s="1810"/>
      <c r="E665" s="1809"/>
      <c r="F665" s="1811"/>
      <c r="G665" s="1809"/>
      <c r="H665" s="1811"/>
    </row>
    <row r="666" spans="1:8">
      <c r="A666" s="1809"/>
      <c r="B666" s="1809"/>
      <c r="C666" s="1809"/>
      <c r="D666" s="1809"/>
      <c r="E666" s="1809"/>
      <c r="F666" s="1811"/>
      <c r="G666" s="1809"/>
      <c r="H666" s="1811"/>
    </row>
    <row r="667" spans="1:8">
      <c r="A667" s="1812" t="s">
        <v>3734</v>
      </c>
      <c r="B667" s="1813">
        <f>'Part IV-A-Uses of Funds'!$G$76</f>
        <v>0</v>
      </c>
      <c r="C667" s="1812" t="s">
        <v>1803</v>
      </c>
      <c r="D667" s="1813">
        <f>'Part IV-A-Uses of Funds'!$J$76+'Part IV-A-Uses of Funds'!$M$76+'Part IV-A-Uses of Funds'!$P$76</f>
        <v>0</v>
      </c>
      <c r="E667" s="1809"/>
      <c r="F667" s="1811"/>
      <c r="G667" s="1809"/>
      <c r="H667" s="1811"/>
    </row>
    <row r="668" spans="1:8">
      <c r="A668" s="1809"/>
      <c r="B668" s="1814"/>
      <c r="C668" s="1809"/>
      <c r="D668" s="1809"/>
      <c r="E668" s="1809"/>
      <c r="F668" s="1811"/>
      <c r="G668" s="1815"/>
      <c r="H668" s="1811"/>
    </row>
    <row r="669" spans="1:8" ht="13.5">
      <c r="A669" s="1808" t="s">
        <v>732</v>
      </c>
      <c r="B669" s="1809"/>
      <c r="C669" s="1809"/>
      <c r="D669" s="1809"/>
      <c r="E669" s="1809"/>
      <c r="F669" s="1809"/>
      <c r="G669" s="1809"/>
      <c r="H669" s="1807"/>
    </row>
    <row r="670" spans="1:8" ht="13.5" customHeight="1">
      <c r="A670" s="1810" t="str">
        <f>'Part IV-A-Uses of Funds'!$C$90</f>
        <v>&lt;&lt; Enter description here; provide detail &amp; justification in tab Part IV-b &gt;&gt;</v>
      </c>
      <c r="B670" s="1810"/>
      <c r="C670" s="1810"/>
      <c r="D670" s="1810"/>
      <c r="E670" s="1807"/>
      <c r="F670" s="1811">
        <f>'Part IV-B-Other Items'!F48</f>
        <v>0</v>
      </c>
      <c r="G670" s="1809"/>
      <c r="H670" s="1807"/>
    </row>
    <row r="671" spans="1:8" ht="13.5">
      <c r="A671" s="1810"/>
      <c r="B671" s="1810"/>
      <c r="C671" s="1810"/>
      <c r="D671" s="1810"/>
      <c r="E671" s="1809"/>
      <c r="F671" s="1811"/>
      <c r="G671" s="1809"/>
      <c r="H671" s="1807"/>
    </row>
    <row r="672" spans="1:8" ht="13.5">
      <c r="A672" s="1809"/>
      <c r="B672" s="1809"/>
      <c r="C672" s="1809"/>
      <c r="D672" s="1809"/>
      <c r="E672" s="1809"/>
      <c r="F672" s="1811"/>
      <c r="G672" s="1809"/>
      <c r="H672" s="1807"/>
    </row>
    <row r="673" spans="1:8" ht="13.5">
      <c r="A673" s="1812" t="s">
        <v>3734</v>
      </c>
      <c r="B673" s="1813">
        <f>'Part IV-A-Uses of Funds'!$G$90</f>
        <v>0</v>
      </c>
      <c r="C673" s="1817"/>
      <c r="D673" s="1817"/>
      <c r="E673" s="1809"/>
      <c r="F673" s="1811"/>
      <c r="G673" s="1809"/>
      <c r="H673" s="1807"/>
    </row>
    <row r="674" spans="1:8" ht="13.5">
      <c r="A674" s="1809"/>
      <c r="B674" s="1809"/>
      <c r="C674" s="1809"/>
      <c r="D674" s="1809"/>
      <c r="E674" s="1809"/>
      <c r="F674" s="1811"/>
      <c r="G674" s="1815"/>
      <c r="H674" s="1807"/>
    </row>
    <row r="675" spans="1:8" ht="13.5">
      <c r="A675" s="1808" t="s">
        <v>4774</v>
      </c>
      <c r="B675" s="1809"/>
      <c r="C675" s="1809"/>
      <c r="D675" s="1809"/>
      <c r="E675" s="1809"/>
      <c r="F675" s="1809"/>
      <c r="G675" s="1809"/>
      <c r="H675" s="1807"/>
    </row>
    <row r="676" spans="1:8" ht="13.5" customHeight="1">
      <c r="A676" s="1810" t="str">
        <f>'Part IV-A-Uses of Funds'!$C$103</f>
        <v>&lt;&lt; Enter description here; provide detail &amp; justification in tab Part IV-b &gt;&gt;</v>
      </c>
      <c r="B676" s="1810"/>
      <c r="C676" s="1810"/>
      <c r="D676" s="1810"/>
      <c r="E676" s="1807"/>
      <c r="F676" s="1811">
        <f>'Part IV-B-Other Items'!F54</f>
        <v>0</v>
      </c>
      <c r="G676" s="1809"/>
      <c r="H676" s="1807"/>
    </row>
    <row r="677" spans="1:8" ht="13.5">
      <c r="A677" s="1810"/>
      <c r="B677" s="1810"/>
      <c r="C677" s="1810"/>
      <c r="D677" s="1810"/>
      <c r="E677" s="1809"/>
      <c r="F677" s="1811"/>
      <c r="G677" s="1809"/>
      <c r="H677" s="1807"/>
    </row>
    <row r="678" spans="1:8" ht="13.5">
      <c r="A678" s="1809"/>
      <c r="B678" s="1809"/>
      <c r="C678" s="1809"/>
      <c r="D678" s="1809"/>
      <c r="E678" s="1809"/>
      <c r="F678" s="1811"/>
      <c r="G678" s="1809"/>
      <c r="H678" s="1807"/>
    </row>
    <row r="679" spans="1:8" ht="13.5">
      <c r="A679" s="1812" t="s">
        <v>3734</v>
      </c>
      <c r="B679" s="1813">
        <f>'Part IV-A-Uses of Funds'!$G$103</f>
        <v>0</v>
      </c>
      <c r="C679" s="1817"/>
      <c r="D679" s="1817"/>
      <c r="E679" s="1809"/>
      <c r="F679" s="1811"/>
      <c r="G679" s="1809"/>
      <c r="H679" s="1807"/>
    </row>
    <row r="680" spans="1:8" ht="13.5">
      <c r="A680" s="1806"/>
      <c r="B680" s="1806"/>
      <c r="C680" s="1806"/>
      <c r="D680" s="1806"/>
      <c r="E680" s="1806"/>
      <c r="F680" s="1811"/>
      <c r="G680" s="1815"/>
      <c r="H680" s="1807"/>
    </row>
    <row r="681" spans="1:8" ht="13.5" customHeight="1">
      <c r="A681" s="1810" t="str">
        <f>'Part IV-A-Uses of Funds'!$C$104</f>
        <v>&lt;&lt; Enter description here; provide detail &amp; justification in tab Part IV-b &gt;&gt;</v>
      </c>
      <c r="B681" s="1810"/>
      <c r="C681" s="1810"/>
      <c r="D681" s="1810"/>
      <c r="E681" s="1807"/>
      <c r="F681" s="1811">
        <f>'Part IV-B-Other Items'!F59</f>
        <v>0</v>
      </c>
      <c r="G681" s="1809"/>
      <c r="H681" s="1807"/>
    </row>
    <row r="682" spans="1:8" ht="13.5">
      <c r="A682" s="1810"/>
      <c r="B682" s="1810"/>
      <c r="C682" s="1810"/>
      <c r="D682" s="1810"/>
      <c r="E682" s="1809"/>
      <c r="F682" s="1811"/>
      <c r="G682" s="1809"/>
      <c r="H682" s="1807"/>
    </row>
    <row r="683" spans="1:8" ht="13.5">
      <c r="A683" s="1809"/>
      <c r="B683" s="1809"/>
      <c r="C683" s="1809"/>
      <c r="D683" s="1809"/>
      <c r="E683" s="1809"/>
      <c r="F683" s="1811"/>
      <c r="G683" s="1809"/>
      <c r="H683" s="1807"/>
    </row>
    <row r="684" spans="1:8" ht="13.5">
      <c r="A684" s="1812" t="s">
        <v>3734</v>
      </c>
      <c r="B684" s="1813">
        <f>'Part IV-A-Uses of Funds'!$G$104</f>
        <v>0</v>
      </c>
      <c r="C684" s="1817"/>
      <c r="D684" s="1817"/>
      <c r="E684" s="1809"/>
      <c r="F684" s="1811"/>
      <c r="G684" s="1809"/>
      <c r="H684" s="1807"/>
    </row>
    <row r="685" spans="1:8" ht="13.5">
      <c r="A685" s="1806"/>
      <c r="B685" s="1806"/>
      <c r="C685" s="1806"/>
      <c r="D685" s="1806"/>
      <c r="E685" s="1806"/>
      <c r="F685" s="1811"/>
      <c r="G685" s="1815"/>
      <c r="H685" s="1807"/>
    </row>
    <row r="686" spans="1:8" ht="13.5">
      <c r="A686" s="1808" t="s">
        <v>4775</v>
      </c>
      <c r="B686" s="1809"/>
      <c r="C686" s="1809"/>
      <c r="D686" s="1809"/>
      <c r="E686" s="1809"/>
      <c r="F686" s="1809"/>
      <c r="G686" s="1809"/>
      <c r="H686" s="1807"/>
    </row>
    <row r="687" spans="1:8" ht="13.5" customHeight="1">
      <c r="A687" s="1810" t="str">
        <f>'Part IV-A-Uses of Funds'!$C$110</f>
        <v>&lt;&lt; Enter description here; provide detail &amp; justification in tab Part IV-b &gt;&gt;</v>
      </c>
      <c r="B687" s="1810"/>
      <c r="C687" s="1810"/>
      <c r="D687" s="1810"/>
      <c r="E687" s="1807"/>
      <c r="F687" s="1811">
        <f>'Part IV-B-Other Items'!F65</f>
        <v>0</v>
      </c>
      <c r="G687" s="1809"/>
      <c r="H687" s="1807"/>
    </row>
    <row r="688" spans="1:8" ht="13.5">
      <c r="A688" s="1810"/>
      <c r="B688" s="1810"/>
      <c r="C688" s="1810"/>
      <c r="D688" s="1810"/>
      <c r="E688" s="1809"/>
      <c r="F688" s="1811"/>
      <c r="G688" s="1809"/>
      <c r="H688" s="1807"/>
    </row>
    <row r="689" spans="1:8" ht="13.5">
      <c r="A689" s="1809"/>
      <c r="B689" s="1809"/>
      <c r="C689" s="1809"/>
      <c r="D689" s="1809"/>
      <c r="E689" s="1809"/>
      <c r="F689" s="1811"/>
      <c r="G689" s="1809"/>
      <c r="H689" s="1807"/>
    </row>
    <row r="690" spans="1:8" ht="13.5">
      <c r="A690" s="1812" t="s">
        <v>3734</v>
      </c>
      <c r="B690" s="1813">
        <f>'Part IV-A-Uses of Funds'!$G$110</f>
        <v>0</v>
      </c>
      <c r="C690" s="1817"/>
      <c r="D690" s="1817"/>
      <c r="E690" s="1809"/>
      <c r="F690" s="1811"/>
      <c r="G690" s="1809"/>
      <c r="H690" s="1807"/>
    </row>
    <row r="691" spans="1:8" ht="13.5">
      <c r="A691" s="1809"/>
      <c r="B691" s="1814"/>
      <c r="C691" s="1809"/>
      <c r="D691" s="1809"/>
      <c r="E691" s="1809"/>
      <c r="F691" s="1811"/>
      <c r="G691" s="1815"/>
      <c r="H691" s="1807"/>
    </row>
    <row r="692" spans="1:8" ht="13.5">
      <c r="A692" s="1808" t="s">
        <v>1321</v>
      </c>
      <c r="B692" s="1809"/>
      <c r="C692" s="1809"/>
      <c r="D692" s="1809"/>
      <c r="E692" s="1809"/>
      <c r="F692" s="1809"/>
      <c r="G692" s="1809"/>
      <c r="H692" s="1807"/>
    </row>
    <row r="693" spans="1:8" ht="13.5" customHeight="1">
      <c r="A693" s="1810" t="str">
        <f>'Part IV-A-Uses of Funds'!$C$125</f>
        <v>Security Systems</v>
      </c>
      <c r="B693" s="1810"/>
      <c r="C693" s="1810"/>
      <c r="D693" s="1810"/>
      <c r="E693" s="1807"/>
      <c r="F693" s="1811" t="str">
        <f>'Part IV-B-Other Items'!F71</f>
        <v>This line item is for the cost for installation of security systems, paid under separate contract to a security company independent of the general contractor, and paid directly by the partnership.</v>
      </c>
      <c r="G693" s="1809"/>
      <c r="H693" s="1811" t="str">
        <f>'Part IV-B-Other Items'!H71</f>
        <v>This item is part of the depreciable property that is part of the residential building and inures to the benefit of the residents.  As such, it is includable in eligible basis.</v>
      </c>
    </row>
    <row r="694" spans="1:8" ht="12.75" customHeight="1">
      <c r="A694" s="1810"/>
      <c r="B694" s="1810"/>
      <c r="C694" s="1810"/>
      <c r="D694" s="1810"/>
      <c r="E694" s="1809"/>
      <c r="F694" s="1811"/>
      <c r="G694" s="1809"/>
      <c r="H694" s="1811"/>
    </row>
    <row r="695" spans="1:8">
      <c r="A695" s="1809"/>
      <c r="B695" s="1809"/>
      <c r="C695" s="1809"/>
      <c r="D695" s="1809"/>
      <c r="E695" s="1809"/>
      <c r="F695" s="1811"/>
      <c r="G695" s="1809"/>
      <c r="H695" s="1811"/>
    </row>
    <row r="696" spans="1:8">
      <c r="A696" s="1812" t="s">
        <v>3734</v>
      </c>
      <c r="B696" s="1813">
        <f>'Part IV-A-Uses of Funds'!$G$125</f>
        <v>31363</v>
      </c>
      <c r="C696" s="1812" t="s">
        <v>1803</v>
      </c>
      <c r="D696" s="1813">
        <f>'Part IV-A-Uses of Funds'!$J$125+'Part IV-A-Uses of Funds'!$M$125+'Part IV-A-Uses of Funds'!$P$125</f>
        <v>31363</v>
      </c>
      <c r="E696" s="1809"/>
      <c r="F696" s="1811"/>
      <c r="G696" s="1809"/>
      <c r="H696" s="1811"/>
    </row>
    <row r="697" spans="1:8">
      <c r="A697" s="1809"/>
      <c r="B697" s="1814"/>
      <c r="C697" s="1809"/>
      <c r="D697" s="1809"/>
      <c r="E697" s="1809"/>
      <c r="F697" s="1811"/>
      <c r="G697" s="1815"/>
      <c r="H697" s="1811"/>
    </row>
    <row r="698" spans="1:8" ht="13.5">
      <c r="A698" s="1808" t="s">
        <v>4776</v>
      </c>
      <c r="B698" s="1814"/>
      <c r="C698" s="1809"/>
      <c r="D698" s="1809"/>
      <c r="E698" s="1809"/>
      <c r="F698" s="1809"/>
      <c r="G698" s="1815"/>
      <c r="H698" s="1807"/>
    </row>
    <row r="699" spans="1:8" ht="13.5" customHeight="1">
      <c r="A699" s="1810" t="str">
        <f>'Part IV-A-Uses of Funds'!$C$129</f>
        <v>File Compliances Reviews</v>
      </c>
      <c r="B699" s="1810"/>
      <c r="C699" s="1810"/>
      <c r="D699" s="1810"/>
      <c r="E699" s="1807"/>
      <c r="F699" s="1811" t="str">
        <f>'Part IV-B-Other Items'!F77</f>
        <v>This cost is for a third-party consultant to review first-year tenant files to ensure compliance with applicable PBV and tax credit regulations.</v>
      </c>
      <c r="G699" s="1809"/>
      <c r="H699" s="1811" t="str">
        <f>'Part IV-B-Other Items'!H77</f>
        <v>As this cost pertains to post-construction/lease-up and operational activities, it is not included in eligible basis.</v>
      </c>
    </row>
    <row r="700" spans="1:8" ht="12.75" customHeight="1">
      <c r="A700" s="1810"/>
      <c r="B700" s="1810"/>
      <c r="C700" s="1810"/>
      <c r="D700" s="1810"/>
      <c r="E700" s="1809"/>
      <c r="F700" s="1811"/>
      <c r="G700" s="1809"/>
      <c r="H700" s="1811"/>
    </row>
    <row r="701" spans="1:8">
      <c r="A701" s="1809"/>
      <c r="B701" s="1809"/>
      <c r="C701" s="1809"/>
      <c r="D701" s="1809"/>
      <c r="E701" s="1809"/>
      <c r="F701" s="1811"/>
      <c r="G701" s="1809"/>
      <c r="H701" s="1811"/>
    </row>
    <row r="702" spans="1:8">
      <c r="A702" s="1812" t="s">
        <v>3734</v>
      </c>
      <c r="B702" s="1813">
        <f>'Part IV-A-Uses of Funds'!$G$129</f>
        <v>3000</v>
      </c>
      <c r="C702" s="1812" t="s">
        <v>1803</v>
      </c>
      <c r="D702" s="1813">
        <f>'Part IV-A-Uses of Funds'!$J$129+'Part IV-A-Uses of Funds'!$M$129+'Part IV-A-Uses of Funds'!$P$129</f>
        <v>0</v>
      </c>
      <c r="E702" s="1809"/>
      <c r="F702" s="1811"/>
      <c r="G702" s="1809"/>
      <c r="H702" s="1811"/>
    </row>
    <row r="703" spans="1:8" ht="13.5">
      <c r="A703" s="1807"/>
      <c r="B703" s="1807"/>
      <c r="C703" s="1807"/>
      <c r="D703" s="1809"/>
      <c r="E703" s="1813"/>
      <c r="F703" s="1811"/>
      <c r="G703" s="1815"/>
      <c r="H703" s="1811"/>
    </row>
    <row r="710" spans="1:13">
      <c r="A710" s="1818" t="str">
        <f>CONCATENATE("PART FIVE - UTILITY ALLOWANCES","  -  ",'Part I-Project Information'!$O$6," ",'Part I-Project Information'!$F$34,", ",'Part I-Project Information'!F747,", ",'Part I-Project Information'!J748," County")</f>
        <v>PART FIVE - UTILITY ALLOWANCES  -  2018-013 Tindall Fields III, ,  County</v>
      </c>
      <c r="B710" s="1818"/>
      <c r="C710" s="1818"/>
      <c r="D710" s="1818"/>
      <c r="E710" s="1818"/>
      <c r="F710" s="1818"/>
      <c r="G710" s="1818"/>
      <c r="H710" s="1818"/>
      <c r="I710" s="1818"/>
      <c r="J710" s="1818"/>
      <c r="K710" s="1818"/>
      <c r="L710" s="1818"/>
      <c r="M710" s="1818"/>
    </row>
    <row r="712" spans="1:13">
      <c r="F712" s="1818" t="s">
        <v>520</v>
      </c>
      <c r="I712" s="1819" t="str">
        <f>VLOOKUP('Part I-Project Information'!$J$39,'DCA Underwriting Assumptions'!$G$155:$H$314,2)</f>
        <v>North</v>
      </c>
    </row>
    <row r="714" spans="1:13">
      <c r="A714" s="1820" t="s">
        <v>3833</v>
      </c>
    </row>
    <row r="716" spans="1:13" ht="25.5">
      <c r="A716" s="1821" t="s">
        <v>622</v>
      </c>
      <c r="B716" s="1821" t="s">
        <v>2243</v>
      </c>
      <c r="F716" s="683" t="s">
        <v>2536</v>
      </c>
      <c r="I716" s="1822" t="str">
        <f>'Part V-Utility Allowances'!I7</f>
        <v>Macon Housing Authority</v>
      </c>
      <c r="J716" s="1822"/>
      <c r="K716" s="1822"/>
      <c r="L716" s="1822"/>
      <c r="M716" s="1822"/>
    </row>
    <row r="717" spans="1:13">
      <c r="A717" s="1821"/>
      <c r="F717" s="683" t="s">
        <v>642</v>
      </c>
      <c r="I717" s="1823">
        <f>'Part V-Utility Allowances'!I8</f>
        <v>43101</v>
      </c>
      <c r="J717" s="1823">
        <f>'Part V-Utility Allowances'!J8</f>
        <v>0</v>
      </c>
      <c r="K717" s="1824" t="s">
        <v>545</v>
      </c>
      <c r="L717" s="1716" t="str">
        <f>'Part V-Utility Allowances'!L8</f>
        <v>MF</v>
      </c>
      <c r="M717" s="1716">
        <f>'Part V-Utility Allowances'!M8</f>
        <v>0</v>
      </c>
    </row>
    <row r="718" spans="1:13">
      <c r="A718" s="1821"/>
    </row>
    <row r="719" spans="1:13">
      <c r="A719" s="1821"/>
      <c r="B719" s="1821"/>
      <c r="C719" s="1821"/>
      <c r="D719" s="1821"/>
      <c r="E719" s="1821"/>
      <c r="F719" s="1825" t="s">
        <v>615</v>
      </c>
      <c r="G719" s="1825"/>
      <c r="H719" s="1821"/>
      <c r="I719" s="1825" t="s">
        <v>202</v>
      </c>
      <c r="J719" s="1825"/>
      <c r="K719" s="1825"/>
      <c r="L719" s="1825"/>
      <c r="M719" s="1825"/>
    </row>
    <row r="720" spans="1:13">
      <c r="A720" s="1821"/>
      <c r="B720" s="1821" t="s">
        <v>806</v>
      </c>
      <c r="C720" s="1821"/>
      <c r="D720" s="1821" t="s">
        <v>1611</v>
      </c>
      <c r="E720" s="1821"/>
      <c r="F720" s="1826" t="s">
        <v>648</v>
      </c>
      <c r="G720" s="1826" t="s">
        <v>1864</v>
      </c>
      <c r="H720" s="1821"/>
      <c r="I720" s="1826" t="s">
        <v>573</v>
      </c>
      <c r="J720" s="1826">
        <v>1</v>
      </c>
      <c r="K720" s="1826">
        <v>2</v>
      </c>
      <c r="L720" s="1826">
        <v>3</v>
      </c>
      <c r="M720" s="1826">
        <v>4</v>
      </c>
    </row>
    <row r="721" spans="1:13">
      <c r="B721" s="683" t="s">
        <v>1866</v>
      </c>
      <c r="D721" s="1716" t="str">
        <f>'Part V-Utility Allowances'!D12</f>
        <v>Electric Heat Pump</v>
      </c>
      <c r="E721" s="1716">
        <f>'Part V-Utility Allowances'!E12</f>
        <v>0</v>
      </c>
      <c r="F721" s="1827" t="str">
        <f>'Part V-Utility Allowances'!F12</f>
        <v>X</v>
      </c>
      <c r="G721" s="1827">
        <f>'Part V-Utility Allowances'!G12</f>
        <v>0</v>
      </c>
      <c r="I721" s="1824">
        <f>'Part V-Utility Allowances'!I12</f>
        <v>0</v>
      </c>
      <c r="J721" s="1824">
        <f>'Part V-Utility Allowances'!J12</f>
        <v>0</v>
      </c>
      <c r="K721" s="1824">
        <f>'Part V-Utility Allowances'!K12</f>
        <v>13</v>
      </c>
      <c r="L721" s="1824">
        <f>'Part V-Utility Allowances'!L12</f>
        <v>16</v>
      </c>
      <c r="M721" s="1824">
        <f>'Part V-Utility Allowances'!M12</f>
        <v>0</v>
      </c>
    </row>
    <row r="722" spans="1:13">
      <c r="B722" s="683" t="s">
        <v>1609</v>
      </c>
      <c r="D722" s="1716" t="str">
        <f>'Part V-Utility Allowances'!D13</f>
        <v>Electric</v>
      </c>
      <c r="E722" s="1716">
        <f>'Part V-Utility Allowances'!E13</f>
        <v>0</v>
      </c>
      <c r="F722" s="1827" t="str">
        <f>'Part V-Utility Allowances'!F13</f>
        <v>X</v>
      </c>
      <c r="G722" s="1827">
        <f>'Part V-Utility Allowances'!G13</f>
        <v>0</v>
      </c>
      <c r="I722" s="1824">
        <f>'Part V-Utility Allowances'!I13</f>
        <v>0</v>
      </c>
      <c r="J722" s="1824">
        <f>'Part V-Utility Allowances'!J13</f>
        <v>0</v>
      </c>
      <c r="K722" s="1824">
        <f>'Part V-Utility Allowances'!K13</f>
        <v>12</v>
      </c>
      <c r="L722" s="1824">
        <f>'Part V-Utility Allowances'!L13</f>
        <v>13</v>
      </c>
      <c r="M722" s="1824">
        <f>'Part V-Utility Allowances'!M13</f>
        <v>0</v>
      </c>
    </row>
    <row r="723" spans="1:13">
      <c r="B723" s="683" t="s">
        <v>1610</v>
      </c>
      <c r="D723" s="1716" t="str">
        <f>'Part V-Utility Allowances'!D14</f>
        <v>Electric</v>
      </c>
      <c r="E723" s="1716">
        <f>'Part V-Utility Allowances'!E14</f>
        <v>0</v>
      </c>
      <c r="F723" s="1827" t="str">
        <f>'Part V-Utility Allowances'!F14</f>
        <v>X</v>
      </c>
      <c r="G723" s="1827">
        <f>'Part V-Utility Allowances'!G14</f>
        <v>0</v>
      </c>
      <c r="I723" s="1824">
        <f>'Part V-Utility Allowances'!I14</f>
        <v>0</v>
      </c>
      <c r="J723" s="1824">
        <f>'Part V-Utility Allowances'!J14</f>
        <v>0</v>
      </c>
      <c r="K723" s="1824">
        <f>'Part V-Utility Allowances'!K14</f>
        <v>23</v>
      </c>
      <c r="L723" s="1824">
        <f>'Part V-Utility Allowances'!L14</f>
        <v>36</v>
      </c>
      <c r="M723" s="1824">
        <f>'Part V-Utility Allowances'!M14</f>
        <v>0</v>
      </c>
    </row>
    <row r="724" spans="1:13">
      <c r="B724" s="683" t="s">
        <v>471</v>
      </c>
      <c r="D724" s="683" t="s">
        <v>1608</v>
      </c>
      <c r="F724" s="1827" t="str">
        <f>'Part V-Utility Allowances'!F15</f>
        <v>X</v>
      </c>
      <c r="G724" s="1827">
        <f>'Part V-Utility Allowances'!G15</f>
        <v>0</v>
      </c>
      <c r="I724" s="1824">
        <f>'Part V-Utility Allowances'!I15</f>
        <v>0</v>
      </c>
      <c r="J724" s="1824">
        <f>'Part V-Utility Allowances'!J15</f>
        <v>0</v>
      </c>
      <c r="K724" s="1824">
        <f>'Part V-Utility Allowances'!K15</f>
        <v>20</v>
      </c>
      <c r="L724" s="1824">
        <f>'Part V-Utility Allowances'!L15</f>
        <v>25</v>
      </c>
      <c r="M724" s="1824">
        <f>'Part V-Utility Allowances'!M15</f>
        <v>0</v>
      </c>
    </row>
    <row r="725" spans="1:13">
      <c r="B725" s="683" t="s">
        <v>3830</v>
      </c>
      <c r="D725" s="683" t="s">
        <v>1608</v>
      </c>
      <c r="F725" s="1827">
        <f>'Part V-Utility Allowances'!F16</f>
        <v>0</v>
      </c>
      <c r="G725" s="1827">
        <f>'Part V-Utility Allowances'!G16</f>
        <v>0</v>
      </c>
      <c r="I725" s="1824">
        <f>'Part V-Utility Allowances'!I16</f>
        <v>0</v>
      </c>
      <c r="J725" s="1824">
        <f>'Part V-Utility Allowances'!J16</f>
        <v>0</v>
      </c>
      <c r="K725" s="1824">
        <f>'Part V-Utility Allowances'!K16</f>
        <v>0</v>
      </c>
      <c r="L725" s="1824">
        <f>'Part V-Utility Allowances'!L16</f>
        <v>0</v>
      </c>
      <c r="M725" s="1824">
        <f>'Part V-Utility Allowances'!M16</f>
        <v>0</v>
      </c>
    </row>
    <row r="726" spans="1:13">
      <c r="B726" s="683" t="s">
        <v>3831</v>
      </c>
      <c r="D726" s="683" t="s">
        <v>1608</v>
      </c>
      <c r="F726" s="1827">
        <f>'Part V-Utility Allowances'!F17</f>
        <v>0</v>
      </c>
      <c r="G726" s="1827">
        <f>'Part V-Utility Allowances'!G17</f>
        <v>0</v>
      </c>
      <c r="I726" s="1824">
        <f>'Part V-Utility Allowances'!I17</f>
        <v>0</v>
      </c>
      <c r="J726" s="1824">
        <f>'Part V-Utility Allowances'!J17</f>
        <v>0</v>
      </c>
      <c r="K726" s="1824">
        <f>'Part V-Utility Allowances'!K17</f>
        <v>0</v>
      </c>
      <c r="L726" s="1824">
        <f>'Part V-Utility Allowances'!L17</f>
        <v>0</v>
      </c>
      <c r="M726" s="1824">
        <f>'Part V-Utility Allowances'!M17</f>
        <v>0</v>
      </c>
    </row>
    <row r="727" spans="1:13">
      <c r="B727" s="683" t="s">
        <v>3832</v>
      </c>
      <c r="D727" s="683" t="s">
        <v>1608</v>
      </c>
      <c r="F727" s="1827" t="str">
        <f>'Part V-Utility Allowances'!F18</f>
        <v>X</v>
      </c>
      <c r="G727" s="1827">
        <f>'Part V-Utility Allowances'!G18</f>
        <v>0</v>
      </c>
      <c r="I727" s="1824">
        <f>'Part V-Utility Allowances'!I18</f>
        <v>0</v>
      </c>
      <c r="J727" s="1824">
        <f>'Part V-Utility Allowances'!J18</f>
        <v>0</v>
      </c>
      <c r="K727" s="1824">
        <f>'Part V-Utility Allowances'!K18</f>
        <v>34</v>
      </c>
      <c r="L727" s="1824">
        <f>'Part V-Utility Allowances'!L18</f>
        <v>39</v>
      </c>
      <c r="M727" s="1824">
        <f>'Part V-Utility Allowances'!M18</f>
        <v>0</v>
      </c>
    </row>
    <row r="728" spans="1:13">
      <c r="B728" s="683" t="s">
        <v>1382</v>
      </c>
      <c r="D728" s="683" t="s">
        <v>4544</v>
      </c>
      <c r="E728" s="1824" t="str">
        <f>'Part V-Utility Allowances'!E19</f>
        <v>Yes</v>
      </c>
      <c r="F728" s="1827" t="str">
        <f>'Part V-Utility Allowances'!F19</f>
        <v>X</v>
      </c>
      <c r="G728" s="1827">
        <f>'Part V-Utility Allowances'!G19</f>
        <v>0</v>
      </c>
      <c r="I728" s="1824">
        <f>'Part V-Utility Allowances'!I19</f>
        <v>0</v>
      </c>
      <c r="J728" s="1824">
        <f>'Part V-Utility Allowances'!J19</f>
        <v>0</v>
      </c>
      <c r="K728" s="1824">
        <f>'Part V-Utility Allowances'!K19</f>
        <v>45</v>
      </c>
      <c r="L728" s="1824">
        <f>'Part V-Utility Allowances'!L19</f>
        <v>63</v>
      </c>
      <c r="M728" s="1824">
        <f>'Part V-Utility Allowances'!M19</f>
        <v>0</v>
      </c>
    </row>
    <row r="729" spans="1:13">
      <c r="B729" s="683" t="s">
        <v>1865</v>
      </c>
      <c r="F729" s="1827">
        <f>'Part V-Utility Allowances'!F20</f>
        <v>0</v>
      </c>
      <c r="G729" s="1827" t="str">
        <f>'Part V-Utility Allowances'!G20</f>
        <v>X</v>
      </c>
      <c r="I729" s="1824">
        <f>'Part V-Utility Allowances'!I20</f>
        <v>0</v>
      </c>
      <c r="J729" s="1824">
        <f>'Part V-Utility Allowances'!J20</f>
        <v>0</v>
      </c>
      <c r="K729" s="1824">
        <f>'Part V-Utility Allowances'!K20</f>
        <v>0</v>
      </c>
      <c r="L729" s="1824">
        <f>'Part V-Utility Allowances'!L20</f>
        <v>0</v>
      </c>
      <c r="M729" s="1824">
        <f>'Part V-Utility Allowances'!M20</f>
        <v>0</v>
      </c>
    </row>
    <row r="730" spans="1:13">
      <c r="B730" s="1821" t="s">
        <v>1030</v>
      </c>
      <c r="F730" s="1824"/>
      <c r="G730" s="1824"/>
      <c r="I730" s="1826">
        <f>IF(SUM(I721:I729)=0,0,IF(OR($D721="&lt;&lt;Select Fuel &gt;&gt;",$D722="&lt;&lt;Select Fuel &gt;&gt;",$D723="&lt;&lt;Select Fuel &gt;&gt;"),"Select Fuel",IF($E728="&lt;Select&gt;","Submeter?",SUM(I721:I729))))</f>
        <v>0</v>
      </c>
      <c r="J730" s="1826">
        <f>IF(SUM(J721:J729)=0,0,IF(OR($D721="&lt;&lt;Select Fuel &gt;&gt;",$D722="&lt;&lt;Select Fuel &gt;&gt;",$D723="&lt;&lt;Select Fuel &gt;&gt;"),"Select Fuel",IF($E728="&lt;Select&gt;","Submeter?",SUM(J721:J729))))</f>
        <v>0</v>
      </c>
      <c r="K730" s="1826">
        <f>IF(SUM(K721:K729)=0,0,IF(OR($D721="&lt;&lt;Select Fuel &gt;&gt;",$D722="&lt;&lt;Select Fuel &gt;&gt;",$D723="&lt;&lt;Select Fuel &gt;&gt;"),"Select Fuel",IF($E728="&lt;Select&gt;","Submeter?",SUM(K721:K729))))</f>
        <v>147</v>
      </c>
      <c r="L730" s="1826">
        <f>IF(SUM(L721:L729)=0,0,IF(OR($D721="&lt;&lt;Select Fuel &gt;&gt;",$D722="&lt;&lt;Select Fuel &gt;&gt;",$D723="&lt;&lt;Select Fuel &gt;&gt;"),"Select Fuel",IF($E728="&lt;Select&gt;","Submeter?",SUM(L721:L729))))</f>
        <v>192</v>
      </c>
      <c r="M730" s="1826">
        <f>IF(SUM(M721:M729)=0,0,IF(OR($D721="&lt;&lt;Select Fuel &gt;&gt;",$D722="&lt;&lt;Select Fuel &gt;&gt;",$D723="&lt;&lt;Select Fuel &gt;&gt;"),"Select Fuel",IF($E728="&lt;Select&gt;","Submeter?",SUM(M721:M729))))</f>
        <v>0</v>
      </c>
    </row>
    <row r="732" spans="1:13">
      <c r="A732" s="1821" t="s">
        <v>748</v>
      </c>
      <c r="B732" s="1821" t="s">
        <v>2244</v>
      </c>
      <c r="F732" s="683" t="s">
        <v>2536</v>
      </c>
      <c r="I732" s="1822">
        <f>'Part V-Utility Allowances'!I23</f>
        <v>0</v>
      </c>
      <c r="J732" s="1822">
        <f>'Part V-Utility Allowances'!J23</f>
        <v>0</v>
      </c>
      <c r="K732" s="1822">
        <f>'Part V-Utility Allowances'!K23</f>
        <v>0</v>
      </c>
      <c r="L732" s="1822">
        <f>'Part V-Utility Allowances'!L23</f>
        <v>0</v>
      </c>
      <c r="M732" s="1822">
        <f>'Part V-Utility Allowances'!M23</f>
        <v>0</v>
      </c>
    </row>
    <row r="733" spans="1:13">
      <c r="A733" s="1821"/>
      <c r="B733" s="1821"/>
      <c r="F733" s="683" t="s">
        <v>642</v>
      </c>
      <c r="I733" s="1823">
        <f>'Part V-Utility Allowances'!I24</f>
        <v>0</v>
      </c>
      <c r="J733" s="1823">
        <f>'Part V-Utility Allowances'!J24</f>
        <v>0</v>
      </c>
      <c r="K733" s="1824" t="s">
        <v>545</v>
      </c>
      <c r="L733" s="1716">
        <f>'Part V-Utility Allowances'!L24</f>
        <v>0</v>
      </c>
      <c r="M733" s="1716">
        <f>'Part V-Utility Allowances'!M24</f>
        <v>0</v>
      </c>
    </row>
    <row r="734" spans="1:13">
      <c r="A734" s="1821"/>
    </row>
    <row r="735" spans="1:13">
      <c r="A735" s="1821"/>
      <c r="B735" s="1821"/>
      <c r="C735" s="1821"/>
      <c r="D735" s="1821"/>
      <c r="E735" s="1821"/>
      <c r="F735" s="1825" t="s">
        <v>615</v>
      </c>
      <c r="G735" s="1825"/>
      <c r="H735" s="1821"/>
      <c r="I735" s="1825" t="s">
        <v>202</v>
      </c>
      <c r="J735" s="1825"/>
      <c r="K735" s="1825"/>
      <c r="L735" s="1825"/>
      <c r="M735" s="1825"/>
    </row>
    <row r="736" spans="1:13">
      <c r="A736" s="1821"/>
      <c r="B736" s="1821" t="s">
        <v>806</v>
      </c>
      <c r="C736" s="1821"/>
      <c r="D736" s="1821" t="s">
        <v>1611</v>
      </c>
      <c r="E736" s="1821"/>
      <c r="F736" s="1826" t="s">
        <v>648</v>
      </c>
      <c r="G736" s="1826" t="s">
        <v>1864</v>
      </c>
      <c r="H736" s="1821"/>
      <c r="I736" s="1826" t="s">
        <v>573</v>
      </c>
      <c r="J736" s="1826">
        <v>1</v>
      </c>
      <c r="K736" s="1826">
        <v>2</v>
      </c>
      <c r="L736" s="1826">
        <v>3</v>
      </c>
      <c r="M736" s="1826">
        <v>4</v>
      </c>
    </row>
    <row r="737" spans="1:13">
      <c r="B737" s="683" t="s">
        <v>1866</v>
      </c>
      <c r="D737" s="1716" t="str">
        <f>'Part V-Utility Allowances'!D28</f>
        <v>&lt;&lt;Select Fuel &gt;&gt;</v>
      </c>
      <c r="E737" s="1716">
        <f>'Part V-Utility Allowances'!E28</f>
        <v>0</v>
      </c>
      <c r="F737" s="1827">
        <f>'Part V-Utility Allowances'!F28</f>
        <v>0</v>
      </c>
      <c r="G737" s="1827">
        <f>'Part V-Utility Allowances'!G28</f>
        <v>0</v>
      </c>
      <c r="I737" s="1824">
        <f>'Part V-Utility Allowances'!I28</f>
        <v>0</v>
      </c>
      <c r="J737" s="1824">
        <f>'Part V-Utility Allowances'!J28</f>
        <v>0</v>
      </c>
      <c r="K737" s="1824">
        <f>'Part V-Utility Allowances'!K28</f>
        <v>0</v>
      </c>
      <c r="L737" s="1824">
        <f>'Part V-Utility Allowances'!L28</f>
        <v>0</v>
      </c>
      <c r="M737" s="1824">
        <f>'Part V-Utility Allowances'!M28</f>
        <v>0</v>
      </c>
    </row>
    <row r="738" spans="1:13">
      <c r="B738" s="683" t="s">
        <v>1609</v>
      </c>
      <c r="D738" s="1716" t="str">
        <f>'Part V-Utility Allowances'!D29</f>
        <v>&lt;&lt;Select Fuel &gt;&gt;</v>
      </c>
      <c r="E738" s="1716">
        <f>'Part V-Utility Allowances'!E29</f>
        <v>0</v>
      </c>
      <c r="F738" s="1827">
        <f>'Part V-Utility Allowances'!F29</f>
        <v>0</v>
      </c>
      <c r="G738" s="1827">
        <f>'Part V-Utility Allowances'!G29</f>
        <v>0</v>
      </c>
      <c r="I738" s="1824">
        <f>'Part V-Utility Allowances'!I29</f>
        <v>0</v>
      </c>
      <c r="J738" s="1824">
        <f>'Part V-Utility Allowances'!J29</f>
        <v>0</v>
      </c>
      <c r="K738" s="1824">
        <f>'Part V-Utility Allowances'!K29</f>
        <v>0</v>
      </c>
      <c r="L738" s="1824">
        <f>'Part V-Utility Allowances'!L29</f>
        <v>0</v>
      </c>
      <c r="M738" s="1824">
        <f>'Part V-Utility Allowances'!M29</f>
        <v>0</v>
      </c>
    </row>
    <row r="739" spans="1:13">
      <c r="B739" s="683" t="s">
        <v>1610</v>
      </c>
      <c r="D739" s="1716" t="str">
        <f>'Part V-Utility Allowances'!D30</f>
        <v>&lt;&lt;Select Fuel &gt;&gt;</v>
      </c>
      <c r="E739" s="1716">
        <f>'Part V-Utility Allowances'!E30</f>
        <v>0</v>
      </c>
      <c r="F739" s="1827">
        <f>'Part V-Utility Allowances'!F30</f>
        <v>0</v>
      </c>
      <c r="G739" s="1827">
        <f>'Part V-Utility Allowances'!G30</f>
        <v>0</v>
      </c>
      <c r="I739" s="1824">
        <f>'Part V-Utility Allowances'!I30</f>
        <v>0</v>
      </c>
      <c r="J739" s="1824">
        <f>'Part V-Utility Allowances'!J30</f>
        <v>0</v>
      </c>
      <c r="K739" s="1824">
        <f>'Part V-Utility Allowances'!K30</f>
        <v>0</v>
      </c>
      <c r="L739" s="1824">
        <f>'Part V-Utility Allowances'!L30</f>
        <v>0</v>
      </c>
      <c r="M739" s="1824">
        <f>'Part V-Utility Allowances'!M30</f>
        <v>0</v>
      </c>
    </row>
    <row r="740" spans="1:13">
      <c r="B740" s="683" t="s">
        <v>471</v>
      </c>
      <c r="D740" s="683" t="s">
        <v>1608</v>
      </c>
      <c r="F740" s="1827">
        <f>'Part V-Utility Allowances'!F31</f>
        <v>0</v>
      </c>
      <c r="G740" s="1827">
        <f>'Part V-Utility Allowances'!G31</f>
        <v>0</v>
      </c>
      <c r="I740" s="1824">
        <f>'Part V-Utility Allowances'!I31</f>
        <v>0</v>
      </c>
      <c r="J740" s="1824">
        <f>'Part V-Utility Allowances'!J31</f>
        <v>0</v>
      </c>
      <c r="K740" s="1824">
        <f>'Part V-Utility Allowances'!K31</f>
        <v>0</v>
      </c>
      <c r="L740" s="1824">
        <f>'Part V-Utility Allowances'!L31</f>
        <v>0</v>
      </c>
      <c r="M740" s="1824">
        <f>'Part V-Utility Allowances'!M31</f>
        <v>0</v>
      </c>
    </row>
    <row r="741" spans="1:13">
      <c r="B741" s="683" t="s">
        <v>3830</v>
      </c>
      <c r="D741" s="683" t="s">
        <v>1608</v>
      </c>
      <c r="F741" s="1827">
        <f>'Part V-Utility Allowances'!F32</f>
        <v>0</v>
      </c>
      <c r="G741" s="1827">
        <f>'Part V-Utility Allowances'!G32</f>
        <v>0</v>
      </c>
      <c r="I741" s="1824">
        <f>'Part V-Utility Allowances'!I32</f>
        <v>0</v>
      </c>
      <c r="J741" s="1824">
        <f>'Part V-Utility Allowances'!J32</f>
        <v>0</v>
      </c>
      <c r="K741" s="1824">
        <f>'Part V-Utility Allowances'!K32</f>
        <v>0</v>
      </c>
      <c r="L741" s="1824">
        <f>'Part V-Utility Allowances'!L32</f>
        <v>0</v>
      </c>
      <c r="M741" s="1824">
        <f>'Part V-Utility Allowances'!M32</f>
        <v>0</v>
      </c>
    </row>
    <row r="742" spans="1:13">
      <c r="B742" s="683" t="s">
        <v>3831</v>
      </c>
      <c r="D742" s="683" t="s">
        <v>1608</v>
      </c>
      <c r="F742" s="1827">
        <f>'Part V-Utility Allowances'!F33</f>
        <v>0</v>
      </c>
      <c r="G742" s="1827">
        <f>'Part V-Utility Allowances'!G33</f>
        <v>0</v>
      </c>
      <c r="I742" s="1824">
        <f>'Part V-Utility Allowances'!I33</f>
        <v>0</v>
      </c>
      <c r="J742" s="1824">
        <f>'Part V-Utility Allowances'!J33</f>
        <v>0</v>
      </c>
      <c r="K742" s="1824">
        <f>'Part V-Utility Allowances'!K33</f>
        <v>0</v>
      </c>
      <c r="L742" s="1824">
        <f>'Part V-Utility Allowances'!L33</f>
        <v>0</v>
      </c>
      <c r="M742" s="1824">
        <f>'Part V-Utility Allowances'!M33</f>
        <v>0</v>
      </c>
    </row>
    <row r="743" spans="1:13">
      <c r="B743" s="683" t="s">
        <v>3832</v>
      </c>
      <c r="D743" s="683" t="s">
        <v>1608</v>
      </c>
      <c r="F743" s="1827">
        <f>'Part V-Utility Allowances'!F34</f>
        <v>0</v>
      </c>
      <c r="G743" s="1827">
        <f>'Part V-Utility Allowances'!G34</f>
        <v>0</v>
      </c>
      <c r="I743" s="1824">
        <f>'Part V-Utility Allowances'!I34</f>
        <v>0</v>
      </c>
      <c r="J743" s="1824">
        <f>'Part V-Utility Allowances'!J34</f>
        <v>0</v>
      </c>
      <c r="K743" s="1824">
        <f>'Part V-Utility Allowances'!K34</f>
        <v>0</v>
      </c>
      <c r="L743" s="1824">
        <f>'Part V-Utility Allowances'!L34</f>
        <v>0</v>
      </c>
      <c r="M743" s="1824">
        <f>'Part V-Utility Allowances'!M34</f>
        <v>0</v>
      </c>
    </row>
    <row r="744" spans="1:13">
      <c r="B744" s="683" t="s">
        <v>1382</v>
      </c>
      <c r="D744" s="683" t="s">
        <v>4544</v>
      </c>
      <c r="E744" s="1824" t="str">
        <f>'Part V-Utility Allowances'!E35</f>
        <v>&lt;Select&gt;</v>
      </c>
      <c r="F744" s="1827">
        <f>'Part V-Utility Allowances'!F35</f>
        <v>0</v>
      </c>
      <c r="G744" s="1827">
        <f>'Part V-Utility Allowances'!G35</f>
        <v>0</v>
      </c>
      <c r="I744" s="1824">
        <f>'Part V-Utility Allowances'!I35</f>
        <v>0</v>
      </c>
      <c r="J744" s="1824">
        <f>'Part V-Utility Allowances'!J35</f>
        <v>0</v>
      </c>
      <c r="K744" s="1824">
        <f>'Part V-Utility Allowances'!K35</f>
        <v>0</v>
      </c>
      <c r="L744" s="1824">
        <f>'Part V-Utility Allowances'!L35</f>
        <v>0</v>
      </c>
      <c r="M744" s="1824">
        <f>'Part V-Utility Allowances'!M35</f>
        <v>0</v>
      </c>
    </row>
    <row r="745" spans="1:13">
      <c r="B745" s="683" t="s">
        <v>1865</v>
      </c>
      <c r="F745" s="1827">
        <f>'Part V-Utility Allowances'!F36</f>
        <v>0</v>
      </c>
      <c r="G745" s="1827">
        <f>'Part V-Utility Allowances'!G36</f>
        <v>0</v>
      </c>
      <c r="I745" s="1824">
        <f>'Part V-Utility Allowances'!I36</f>
        <v>0</v>
      </c>
      <c r="J745" s="1824">
        <f>'Part V-Utility Allowances'!J36</f>
        <v>0</v>
      </c>
      <c r="K745" s="1824">
        <f>'Part V-Utility Allowances'!K36</f>
        <v>0</v>
      </c>
      <c r="L745" s="1824">
        <f>'Part V-Utility Allowances'!L36</f>
        <v>0</v>
      </c>
      <c r="M745" s="1824">
        <f>'Part V-Utility Allowances'!M36</f>
        <v>0</v>
      </c>
    </row>
    <row r="746" spans="1:13">
      <c r="B746" s="1821" t="s">
        <v>1030</v>
      </c>
      <c r="F746" s="1824"/>
      <c r="G746" s="1824"/>
      <c r="I746" s="1826">
        <f>IF(SUM(I737:I745)=0,0,IF(OR($D737="&lt;&lt;Select Fuel &gt;&gt;",$D739="&lt;&lt;Select Fuel &gt;&gt;",$D740="&lt;&lt;Select Fuel &gt;&gt;"),"Select Fuel",IF($E744="&lt;Select&gt;","Submeter?",SUM(I737:I745))))</f>
        <v>0</v>
      </c>
      <c r="J746" s="1826">
        <f>IF(SUM(J737:J745)=0,0,IF(OR($D737="&lt;&lt;Select Fuel &gt;&gt;",$D739="&lt;&lt;Select Fuel &gt;&gt;",$D740="&lt;&lt;Select Fuel &gt;&gt;"),"Select Fuel",IF($E744="&lt;Select&gt;","Submeter?",SUM(J737:J745))))</f>
        <v>0</v>
      </c>
      <c r="K746" s="1826">
        <f>IF(SUM(K737:K745)=0,0,IF(OR($D737="&lt;&lt;Select Fuel &gt;&gt;",$D739="&lt;&lt;Select Fuel &gt;&gt;",$D740="&lt;&lt;Select Fuel &gt;&gt;"),"Select Fuel",IF($E744="&lt;Select&gt;","Submeter?",SUM(K737:K745))))</f>
        <v>0</v>
      </c>
      <c r="L746" s="1826">
        <f>IF(SUM(L737:L745)=0,0,IF(OR($D737="&lt;&lt;Select Fuel &gt;&gt;",$D739="&lt;&lt;Select Fuel &gt;&gt;",$D740="&lt;&lt;Select Fuel &gt;&gt;"),"Select Fuel",IF($E744="&lt;Select&gt;","Submeter?",SUM(L737:L745))))</f>
        <v>0</v>
      </c>
      <c r="M746" s="1826">
        <f>IF(SUM(M737:M745)=0,0,IF(OR($D737="&lt;&lt;Select Fuel &gt;&gt;",$D739="&lt;&lt;Select Fuel &gt;&gt;",$D740="&lt;&lt;Select Fuel &gt;&gt;"),"Select Fuel",IF($E744="&lt;Select&gt;","Submeter?",SUM(M737:M745))))</f>
        <v>0</v>
      </c>
    </row>
    <row r="748" spans="1:13">
      <c r="B748" s="1156" t="s">
        <v>4545</v>
      </c>
      <c r="F748" s="1824"/>
      <c r="G748" s="1824"/>
      <c r="I748" s="1826"/>
      <c r="J748" s="1826"/>
      <c r="K748" s="1826"/>
      <c r="L748" s="1826"/>
      <c r="M748" s="1826"/>
    </row>
    <row r="749" spans="1:13">
      <c r="A749" s="1821"/>
      <c r="B749" s="1821" t="s">
        <v>577</v>
      </c>
    </row>
    <row r="750" spans="1:13" ht="252">
      <c r="B750" s="1329" t="str">
        <f>'Part V-Utility Allowances'!B41</f>
        <v>MHA Utility Allowances (UAs) are used because of the MHA project-based vouchers.  As there is only one "Multifamily (MF)" UA designation under this program, the one "MF" schedule applies to all unit/building types.</v>
      </c>
      <c r="C750" s="1329">
        <f>'Part V-Utility Allowances'!C41</f>
        <v>0</v>
      </c>
      <c r="D750" s="1329">
        <f>'Part V-Utility Allowances'!D41</f>
        <v>0</v>
      </c>
      <c r="E750" s="1329">
        <f>'Part V-Utility Allowances'!E41</f>
        <v>0</v>
      </c>
      <c r="F750" s="1329">
        <f>'Part V-Utility Allowances'!F41</f>
        <v>0</v>
      </c>
      <c r="G750" s="1329">
        <f>'Part V-Utility Allowances'!G41</f>
        <v>0</v>
      </c>
      <c r="H750" s="1329">
        <f>'Part V-Utility Allowances'!H41</f>
        <v>0</v>
      </c>
      <c r="I750" s="1329">
        <f>'Part V-Utility Allowances'!I41</f>
        <v>0</v>
      </c>
      <c r="J750" s="1329">
        <f>'Part V-Utility Allowances'!J41</f>
        <v>0</v>
      </c>
      <c r="K750" s="1329">
        <f>'Part V-Utility Allowances'!K41</f>
        <v>0</v>
      </c>
      <c r="L750" s="1329">
        <f>'Part V-Utility Allowances'!L41</f>
        <v>0</v>
      </c>
      <c r="M750" s="1329">
        <f>'Part V-Utility Allowances'!M41</f>
        <v>0</v>
      </c>
    </row>
    <row r="752" spans="1:13">
      <c r="A752" s="1821"/>
      <c r="B752" s="1821" t="s">
        <v>1859</v>
      </c>
    </row>
    <row r="753" spans="1:277">
      <c r="B753" s="1329">
        <f>'Part V-Utility Allowances'!B44</f>
        <v>0</v>
      </c>
      <c r="C753" s="1329">
        <f>'Part V-Utility Allowances'!C44</f>
        <v>0</v>
      </c>
      <c r="D753" s="1329">
        <f>'Part V-Utility Allowances'!D44</f>
        <v>0</v>
      </c>
      <c r="E753" s="1329">
        <f>'Part V-Utility Allowances'!E44</f>
        <v>0</v>
      </c>
      <c r="F753" s="1329">
        <f>'Part V-Utility Allowances'!F44</f>
        <v>0</v>
      </c>
      <c r="G753" s="1329">
        <f>'Part V-Utility Allowances'!G44</f>
        <v>0</v>
      </c>
      <c r="H753" s="1329">
        <f>'Part V-Utility Allowances'!H44</f>
        <v>0</v>
      </c>
      <c r="I753" s="1329">
        <f>'Part V-Utility Allowances'!I44</f>
        <v>0</v>
      </c>
      <c r="J753" s="1329">
        <f>'Part V-Utility Allowances'!J44</f>
        <v>0</v>
      </c>
      <c r="K753" s="1329">
        <f>'Part V-Utility Allowances'!K44</f>
        <v>0</v>
      </c>
      <c r="L753" s="1329">
        <f>'Part V-Utility Allowances'!L44</f>
        <v>0</v>
      </c>
      <c r="M753" s="1329">
        <f>'Part V-Utility Allowances'!M44</f>
        <v>0</v>
      </c>
    </row>
    <row r="758" spans="1:277" s="1629" customFormat="1" ht="13.9" customHeight="1">
      <c r="A758" s="1818" t="str">
        <f>CONCATENATE("PART SIX - PROJECTED REVENUES &amp; EXPENSES","  -  ",'Part I-Project Information'!$O$6," ",'Part I-Project Information'!$F$34,", ",'Part I-Project Information'!F795,", ",'Part I-Project Information'!J796," County")</f>
        <v>PART SIX - PROJECTED REVENUES &amp; EXPENSES  -  2018-013 Tindall Fields III, ,  County</v>
      </c>
      <c r="B758" s="1818"/>
      <c r="C758" s="1818"/>
      <c r="D758" s="1818"/>
      <c r="E758" s="1818"/>
      <c r="F758" s="1818"/>
      <c r="G758" s="1818"/>
      <c r="H758" s="1818"/>
      <c r="I758" s="1818"/>
      <c r="J758" s="1818"/>
      <c r="K758" s="1818"/>
      <c r="L758" s="1818"/>
      <c r="M758" s="1818"/>
      <c r="N758" s="1818"/>
      <c r="O758" s="1818"/>
      <c r="P758" s="1818"/>
      <c r="U758" s="1818" t="str">
        <f>A758</f>
        <v>PART SIX - PROJECTED REVENUES &amp; EXPENSES  -  2018-013 Tindall Fields III, ,  County</v>
      </c>
      <c r="V758" s="1818"/>
      <c r="EU758" s="1828"/>
      <c r="EV758" s="1828"/>
      <c r="EW758" s="1828"/>
      <c r="EX758" s="1828"/>
      <c r="EY758" s="1828"/>
      <c r="EZ758" s="1828"/>
      <c r="FA758" s="1828"/>
      <c r="FB758" s="1828"/>
      <c r="FC758" s="1828"/>
      <c r="FD758" s="1828"/>
      <c r="FE758" s="1828"/>
      <c r="FF758" s="1828"/>
      <c r="FG758" s="1828"/>
      <c r="FH758" s="1828"/>
      <c r="FI758" s="1828"/>
      <c r="FJ758" s="1828"/>
      <c r="FK758" s="1828"/>
      <c r="FL758" s="1828"/>
      <c r="FM758" s="1828"/>
      <c r="FN758" s="1828"/>
      <c r="FO758" s="1828"/>
      <c r="FP758" s="1828"/>
      <c r="FQ758" s="1828"/>
      <c r="FR758" s="1828"/>
      <c r="FS758" s="1828"/>
      <c r="FT758" s="1828"/>
      <c r="FU758" s="1828"/>
      <c r="FV758" s="1828"/>
      <c r="FW758" s="1828"/>
      <c r="FX758" s="1828"/>
      <c r="FY758" s="1828"/>
      <c r="FZ758" s="1828"/>
      <c r="GA758" s="1828"/>
      <c r="GB758" s="1828"/>
      <c r="GC758" s="1828"/>
      <c r="GD758" s="1828"/>
      <c r="GE758" s="1828"/>
      <c r="GF758" s="1828"/>
      <c r="GG758" s="1828"/>
      <c r="GH758" s="1828"/>
      <c r="GI758" s="1828"/>
      <c r="GJ758" s="1828"/>
      <c r="GK758" s="1828"/>
      <c r="GL758" s="1828"/>
      <c r="GM758" s="1828"/>
      <c r="GN758" s="1828"/>
      <c r="GO758" s="1828"/>
      <c r="GP758" s="1828"/>
      <c r="GQ758" s="1828"/>
      <c r="GR758" s="1828"/>
      <c r="GS758" s="1828"/>
      <c r="GT758" s="1828"/>
      <c r="GU758" s="1828"/>
      <c r="GV758" s="1828"/>
      <c r="GW758" s="1828"/>
      <c r="GX758" s="1828"/>
      <c r="GY758" s="1828"/>
      <c r="GZ758" s="1828"/>
      <c r="HA758" s="1828"/>
      <c r="HB758" s="1828"/>
      <c r="HC758" s="1828"/>
      <c r="HD758" s="1828"/>
      <c r="HE758" s="1828"/>
      <c r="HF758" s="1828"/>
      <c r="HG758" s="1828"/>
      <c r="HH758" s="1828"/>
      <c r="HI758" s="1828"/>
      <c r="HJ758" s="1828"/>
      <c r="HK758" s="1828"/>
      <c r="HL758" s="1828"/>
      <c r="HO758" s="1828"/>
      <c r="HP758" s="1828"/>
      <c r="HQ758" s="1828"/>
      <c r="HV758" s="1818"/>
      <c r="IA758" s="1818"/>
    </row>
    <row r="759" spans="1:277" ht="6" customHeight="1">
      <c r="W759" s="1330"/>
      <c r="X759" s="1330"/>
      <c r="Y759" s="1330"/>
      <c r="Z759" s="1330"/>
      <c r="AA759" s="1330"/>
      <c r="AB759" s="1330"/>
      <c r="AC759" s="1330"/>
      <c r="AD759" s="1330"/>
      <c r="AE759" s="1330"/>
      <c r="AF759" s="1330"/>
      <c r="AG759" s="1330"/>
      <c r="AH759" s="1330"/>
      <c r="AI759" s="1330"/>
      <c r="AJ759" s="1330"/>
      <c r="AK759" s="1330"/>
      <c r="AL759" s="1330"/>
      <c r="AM759" s="1330"/>
      <c r="AN759" s="1330"/>
      <c r="AO759" s="1330"/>
      <c r="AP759" s="1330"/>
      <c r="AQ759" s="1330"/>
      <c r="AR759" s="1330"/>
      <c r="AS759" s="1330"/>
      <c r="AT759" s="1330"/>
      <c r="AU759" s="1330"/>
      <c r="AV759" s="1330"/>
      <c r="AW759" s="1330"/>
      <c r="AX759" s="1330"/>
      <c r="AY759" s="1330"/>
      <c r="AZ759" s="1330"/>
      <c r="BA759" s="1330"/>
      <c r="BB759" s="1330"/>
      <c r="BC759" s="1330"/>
      <c r="BD759" s="1330"/>
      <c r="BE759" s="1330"/>
      <c r="BF759" s="1330"/>
      <c r="BG759" s="1330"/>
      <c r="BH759" s="1330"/>
      <c r="BI759" s="1330"/>
      <c r="BJ759" s="1330"/>
      <c r="BK759" s="1330"/>
      <c r="BL759" s="1330"/>
      <c r="BM759" s="1330"/>
      <c r="BN759" s="1330"/>
      <c r="BO759" s="1330"/>
      <c r="BP759" s="1330"/>
      <c r="BQ759" s="1330"/>
      <c r="BR759" s="1330"/>
      <c r="BS759" s="1330"/>
      <c r="BT759" s="1330"/>
      <c r="BU759" s="1330"/>
      <c r="BV759" s="1330"/>
      <c r="BW759" s="1330"/>
      <c r="BX759" s="1330"/>
      <c r="BY759" s="1330"/>
      <c r="BZ759" s="1330"/>
      <c r="CA759" s="1330"/>
      <c r="CB759" s="1330"/>
      <c r="CC759" s="1330"/>
      <c r="CD759" s="1330"/>
      <c r="CE759" s="1330"/>
      <c r="CF759" s="1330"/>
      <c r="CG759" s="1330"/>
      <c r="CH759" s="1330"/>
      <c r="CI759" s="1330"/>
      <c r="CJ759" s="1330"/>
      <c r="CK759" s="1330"/>
      <c r="CL759" s="1330"/>
      <c r="CM759" s="1330"/>
      <c r="CN759" s="1330"/>
      <c r="CO759" s="1330"/>
      <c r="CP759" s="1330"/>
      <c r="CQ759" s="1330"/>
      <c r="CR759" s="1330"/>
      <c r="CS759" s="1330"/>
      <c r="CT759" s="1330"/>
      <c r="CU759" s="1330"/>
      <c r="CV759" s="1330"/>
      <c r="CW759" s="1330"/>
      <c r="CX759" s="1330"/>
      <c r="CY759" s="1330"/>
      <c r="CZ759" s="1330"/>
      <c r="DA759" s="1330"/>
      <c r="DB759" s="1330"/>
      <c r="DC759" s="1330"/>
      <c r="DD759" s="1330"/>
      <c r="DE759" s="1330"/>
      <c r="DF759" s="1330"/>
      <c r="DG759" s="1330"/>
      <c r="DH759" s="1330"/>
      <c r="DI759" s="1330"/>
      <c r="DJ759" s="1330"/>
      <c r="DK759" s="1330"/>
      <c r="DL759" s="1330"/>
      <c r="DM759" s="1330"/>
      <c r="DN759" s="1330"/>
      <c r="DO759" s="1330"/>
      <c r="DP759" s="1330"/>
      <c r="DQ759" s="1330"/>
      <c r="DR759" s="1330"/>
      <c r="DS759" s="1330"/>
      <c r="DT759" s="1330"/>
      <c r="DU759" s="1330"/>
      <c r="DV759" s="1330"/>
      <c r="DW759" s="1330"/>
      <c r="DX759" s="1330"/>
      <c r="DY759" s="1330"/>
      <c r="DZ759" s="1330"/>
      <c r="EA759" s="1330"/>
      <c r="EB759" s="1330"/>
      <c r="EC759" s="1330"/>
      <c r="ED759" s="1330"/>
      <c r="EE759" s="1330"/>
      <c r="EF759" s="1330"/>
      <c r="EG759" s="1330"/>
      <c r="EH759" s="1330"/>
      <c r="EI759" s="1330"/>
      <c r="EJ759" s="1330"/>
      <c r="EK759" s="1330"/>
      <c r="EL759" s="1330"/>
      <c r="EM759" s="1330"/>
      <c r="EN759" s="1330"/>
      <c r="EO759" s="1330"/>
      <c r="EP759" s="1330"/>
      <c r="EQ759" s="1330"/>
      <c r="ER759" s="1330"/>
      <c r="ES759" s="1330"/>
      <c r="ET759" s="1330"/>
      <c r="EU759" s="1330"/>
      <c r="EV759" s="1330"/>
      <c r="EW759" s="1829"/>
      <c r="EX759" s="1829"/>
      <c r="EY759" s="1829"/>
      <c r="EZ759" s="1829"/>
      <c r="FA759" s="1829"/>
      <c r="FB759" s="1829"/>
      <c r="FC759" s="1829"/>
      <c r="FD759" s="1829"/>
      <c r="FE759" s="1829"/>
      <c r="FF759" s="1829"/>
      <c r="FG759" s="1829"/>
      <c r="FH759" s="1829"/>
      <c r="FI759" s="1829"/>
      <c r="FJ759" s="1829"/>
      <c r="FK759" s="1829"/>
      <c r="FL759" s="1829"/>
      <c r="FM759" s="1829"/>
      <c r="FN759" s="1829"/>
      <c r="FO759" s="1829"/>
      <c r="FP759" s="1829"/>
      <c r="FQ759" s="1829"/>
      <c r="FR759" s="1829"/>
      <c r="FS759" s="1829"/>
      <c r="FT759" s="1829"/>
      <c r="FU759" s="1829"/>
      <c r="FV759" s="1829"/>
      <c r="FW759" s="1829"/>
      <c r="FX759" s="1829"/>
      <c r="FY759" s="1829"/>
      <c r="FZ759" s="1829"/>
      <c r="GA759" s="1829"/>
      <c r="GB759" s="1829"/>
      <c r="GC759" s="1829"/>
      <c r="GD759" s="1829"/>
      <c r="GE759" s="1829"/>
      <c r="GF759" s="1829"/>
      <c r="GG759" s="1829"/>
      <c r="GH759" s="1829"/>
      <c r="GI759" s="1829"/>
      <c r="GJ759" s="1829"/>
      <c r="GK759" s="1829"/>
      <c r="GL759" s="1829"/>
      <c r="GM759" s="1829"/>
      <c r="GN759" s="1829"/>
      <c r="GO759" s="1829"/>
      <c r="GP759" s="1829"/>
      <c r="GQ759" s="1829"/>
      <c r="GR759" s="1829"/>
      <c r="GS759" s="1829"/>
      <c r="GT759" s="1829"/>
      <c r="GU759" s="1829"/>
      <c r="GV759" s="1829"/>
      <c r="GW759" s="1829"/>
      <c r="GX759" s="1829"/>
      <c r="GY759" s="1829"/>
      <c r="GZ759" s="1829"/>
      <c r="HA759" s="1829"/>
      <c r="HB759" s="1829"/>
      <c r="HC759" s="1829"/>
      <c r="HD759" s="1829"/>
      <c r="HE759" s="1829"/>
      <c r="HF759" s="1829"/>
      <c r="HG759" s="1829"/>
      <c r="HH759" s="1829"/>
      <c r="HI759" s="1829"/>
      <c r="HJ759" s="1829"/>
      <c r="HK759" s="1829"/>
      <c r="HL759" s="1829"/>
      <c r="HM759" s="1829"/>
      <c r="HN759" s="1829"/>
      <c r="HO759" s="1829"/>
      <c r="HP759" s="1829"/>
      <c r="HQ759" s="1829"/>
      <c r="HR759" s="1829"/>
      <c r="HS759" s="1829"/>
      <c r="HT759" s="1330"/>
      <c r="HU759" s="1330"/>
      <c r="HV759" s="1330"/>
      <c r="HW759" s="1330"/>
      <c r="HX759" s="1330"/>
      <c r="HY759" s="1330"/>
      <c r="HZ759" s="1330"/>
      <c r="IA759" s="1330"/>
      <c r="IB759" s="1330"/>
      <c r="IC759" s="1330"/>
      <c r="II759" s="1330"/>
      <c r="IJ759" s="1330"/>
      <c r="IK759" s="1330"/>
      <c r="IL759" s="1330"/>
      <c r="IM759" s="1330"/>
      <c r="IN759" s="1330"/>
      <c r="IO759" s="1330"/>
      <c r="IP759" s="1330"/>
      <c r="IQ759" s="1330"/>
      <c r="IR759" s="1330"/>
      <c r="IS759" s="1330"/>
      <c r="IT759" s="1330"/>
      <c r="IU759" s="1330"/>
      <c r="IV759" s="1330"/>
      <c r="IW759" s="1330"/>
      <c r="IX759" s="1330"/>
      <c r="IY759" s="1330"/>
      <c r="IZ759" s="1330"/>
      <c r="JA759" s="1330"/>
      <c r="JB759" s="1330"/>
    </row>
    <row r="760" spans="1:277" s="1629" customFormat="1" ht="12.6" customHeight="1">
      <c r="A760" s="1818" t="s">
        <v>622</v>
      </c>
      <c r="B760" s="1818" t="s">
        <v>2382</v>
      </c>
      <c r="D760" s="1631" t="s">
        <v>3592</v>
      </c>
      <c r="G760" s="1818"/>
      <c r="H760" s="1818"/>
      <c r="I760" s="1818"/>
      <c r="J760" s="1818"/>
      <c r="K760" s="1818"/>
      <c r="L760" s="1818"/>
      <c r="S760" s="1818"/>
      <c r="T760" s="1818"/>
      <c r="U760" s="1818" t="str">
        <f>B760</f>
        <v>RENT SCHEDULE</v>
      </c>
      <c r="W760" s="1830"/>
      <c r="X760" s="1830"/>
      <c r="Y760" s="1830"/>
      <c r="Z760" s="1830"/>
      <c r="AA760" s="1830"/>
      <c r="AB760" s="1830"/>
      <c r="AC760" s="1830"/>
      <c r="AD760" s="1830"/>
      <c r="AE760" s="1830"/>
      <c r="AF760" s="1830"/>
      <c r="AG760" s="1830"/>
      <c r="AH760" s="1830"/>
      <c r="AI760" s="1830"/>
      <c r="AJ760" s="1830"/>
      <c r="AK760" s="1830"/>
      <c r="AL760" s="1830"/>
      <c r="AM760" s="1830"/>
      <c r="AN760" s="1830"/>
      <c r="AO760" s="1830"/>
      <c r="AP760" s="1830"/>
      <c r="AQ760" s="1830"/>
      <c r="AR760" s="1830"/>
      <c r="AS760" s="1830"/>
      <c r="AT760" s="1830"/>
      <c r="AU760" s="1830"/>
      <c r="AV760" s="1830"/>
      <c r="AW760" s="1830"/>
      <c r="AX760" s="1830"/>
      <c r="AY760" s="1830"/>
      <c r="AZ760" s="1830"/>
      <c r="BA760" s="1830"/>
      <c r="BB760" s="1830"/>
      <c r="BC760" s="1830"/>
      <c r="BD760" s="1830"/>
      <c r="BE760" s="1830"/>
      <c r="BF760" s="1830"/>
      <c r="BG760" s="1830"/>
      <c r="BH760" s="1830"/>
      <c r="BI760" s="1830"/>
      <c r="BJ760" s="1830"/>
      <c r="BK760" s="1830"/>
      <c r="BL760" s="1830"/>
      <c r="BM760" s="1830"/>
      <c r="BN760" s="1830"/>
      <c r="BO760" s="1830"/>
      <c r="BP760" s="1830"/>
      <c r="BQ760" s="1830"/>
      <c r="BR760" s="1830"/>
      <c r="BS760" s="1830"/>
      <c r="BT760" s="1830"/>
      <c r="BU760" s="1830"/>
      <c r="BV760" s="1830"/>
      <c r="BW760" s="1830"/>
      <c r="BX760" s="1830"/>
      <c r="BY760" s="1830"/>
      <c r="BZ760" s="1830"/>
      <c r="CA760" s="1830"/>
      <c r="CB760" s="1830"/>
      <c r="CC760" s="1830"/>
      <c r="CD760" s="1830"/>
      <c r="CE760" s="1830"/>
      <c r="CF760" s="1830"/>
      <c r="CG760" s="1830"/>
      <c r="CH760" s="1830"/>
      <c r="CI760" s="1830"/>
      <c r="CJ760" s="1830"/>
      <c r="CK760" s="1830"/>
      <c r="CL760" s="1830"/>
      <c r="CM760" s="1830"/>
      <c r="CN760" s="1830"/>
      <c r="CO760" s="1830"/>
      <c r="CP760" s="1830"/>
      <c r="CQ760" s="1830"/>
      <c r="CR760" s="1830"/>
      <c r="CS760" s="1830"/>
      <c r="CT760" s="1830"/>
      <c r="CU760" s="1830"/>
      <c r="CV760" s="1830"/>
      <c r="CW760" s="1830"/>
      <c r="CX760" s="1830"/>
      <c r="CY760" s="1830"/>
      <c r="CZ760" s="1830"/>
      <c r="DA760" s="1830"/>
      <c r="DB760" s="1830"/>
      <c r="DC760" s="1830"/>
      <c r="DD760" s="1830"/>
      <c r="DE760" s="1830"/>
      <c r="DF760" s="1830"/>
      <c r="DG760" s="1830"/>
      <c r="DH760" s="1830"/>
      <c r="DI760" s="1830"/>
      <c r="DJ760" s="1830"/>
      <c r="DK760" s="1830"/>
      <c r="DL760" s="1830"/>
      <c r="DM760" s="1830"/>
      <c r="DN760" s="1830"/>
      <c r="DO760" s="1830"/>
      <c r="DP760" s="1830"/>
      <c r="DQ760" s="1830"/>
      <c r="DR760" s="1830"/>
      <c r="DS760" s="1830"/>
      <c r="DT760" s="1830"/>
      <c r="DU760" s="1830"/>
      <c r="DV760" s="1830"/>
      <c r="DW760" s="1830"/>
      <c r="DX760" s="1830"/>
      <c r="DY760" s="1830"/>
      <c r="DZ760" s="1830"/>
      <c r="EA760" s="1830"/>
      <c r="EB760" s="1830"/>
      <c r="EC760" s="1830"/>
      <c r="ED760" s="1830"/>
      <c r="EE760" s="1830"/>
      <c r="EF760" s="1830"/>
      <c r="EG760" s="1830"/>
      <c r="EH760" s="1830"/>
      <c r="EI760" s="1830"/>
      <c r="EJ760" s="1830"/>
      <c r="EK760" s="1830"/>
      <c r="EL760" s="1830"/>
      <c r="EM760" s="1830"/>
      <c r="EN760" s="1830"/>
      <c r="EO760" s="1830"/>
      <c r="EP760" s="1830"/>
      <c r="EQ760" s="1830"/>
      <c r="ER760" s="1830"/>
      <c r="ES760" s="1830"/>
      <c r="ET760" s="1830"/>
      <c r="EU760" s="1830"/>
      <c r="EV760" s="1830"/>
      <c r="EW760" s="1831"/>
      <c r="EX760" s="1831"/>
      <c r="EY760" s="1831"/>
      <c r="EZ760" s="1831"/>
      <c r="FA760" s="1831"/>
      <c r="FB760" s="1829" t="s">
        <v>490</v>
      </c>
      <c r="FC760" s="1829" t="s">
        <v>2456</v>
      </c>
      <c r="FD760" s="1829" t="s">
        <v>2457</v>
      </c>
      <c r="FE760" s="1829" t="s">
        <v>2458</v>
      </c>
      <c r="FF760" s="1829" t="s">
        <v>2459</v>
      </c>
      <c r="FG760" s="1829" t="s">
        <v>490</v>
      </c>
      <c r="FH760" s="1829" t="s">
        <v>2456</v>
      </c>
      <c r="FI760" s="1829" t="s">
        <v>2457</v>
      </c>
      <c r="FJ760" s="1829" t="s">
        <v>2458</v>
      </c>
      <c r="FK760" s="1829" t="s">
        <v>2459</v>
      </c>
      <c r="FL760" s="1831"/>
      <c r="FM760" s="1831"/>
      <c r="FN760" s="1831"/>
      <c r="FO760" s="1831"/>
      <c r="FP760" s="1831"/>
      <c r="FQ760" s="1831"/>
      <c r="FR760" s="1831"/>
      <c r="FS760" s="1831"/>
      <c r="FT760" s="1831"/>
      <c r="FU760" s="1831"/>
      <c r="FV760" s="1829" t="s">
        <v>490</v>
      </c>
      <c r="FW760" s="1829" t="s">
        <v>2456</v>
      </c>
      <c r="FX760" s="1829" t="s">
        <v>2457</v>
      </c>
      <c r="FY760" s="1829" t="s">
        <v>2458</v>
      </c>
      <c r="FZ760" s="1829" t="s">
        <v>2459</v>
      </c>
      <c r="GA760" s="1829" t="s">
        <v>490</v>
      </c>
      <c r="GB760" s="1829" t="s">
        <v>2456</v>
      </c>
      <c r="GC760" s="1829" t="s">
        <v>2457</v>
      </c>
      <c r="GD760" s="1829" t="s">
        <v>2458</v>
      </c>
      <c r="GE760" s="1829" t="s">
        <v>2459</v>
      </c>
      <c r="GF760" s="1829" t="s">
        <v>490</v>
      </c>
      <c r="GG760" s="1829" t="s">
        <v>2456</v>
      </c>
      <c r="GH760" s="1829" t="s">
        <v>2457</v>
      </c>
      <c r="GI760" s="1829" t="s">
        <v>2458</v>
      </c>
      <c r="GJ760" s="1829" t="s">
        <v>2459</v>
      </c>
      <c r="GK760" s="1829" t="s">
        <v>490</v>
      </c>
      <c r="GL760" s="1829" t="s">
        <v>2456</v>
      </c>
      <c r="GM760" s="1829" t="s">
        <v>2457</v>
      </c>
      <c r="GN760" s="1829" t="s">
        <v>2458</v>
      </c>
      <c r="GO760" s="1829" t="s">
        <v>2459</v>
      </c>
      <c r="GP760" s="1829" t="s">
        <v>490</v>
      </c>
      <c r="GQ760" s="1829" t="s">
        <v>2456</v>
      </c>
      <c r="GR760" s="1829" t="s">
        <v>2457</v>
      </c>
      <c r="GS760" s="1829" t="s">
        <v>2458</v>
      </c>
      <c r="GT760" s="1829" t="s">
        <v>2459</v>
      </c>
      <c r="GU760" s="1829" t="s">
        <v>490</v>
      </c>
      <c r="GV760" s="1829" t="s">
        <v>2456</v>
      </c>
      <c r="GW760" s="1829" t="s">
        <v>2457</v>
      </c>
      <c r="GX760" s="1829" t="s">
        <v>2458</v>
      </c>
      <c r="GY760" s="1829" t="s">
        <v>2459</v>
      </c>
      <c r="GZ760" s="1829" t="s">
        <v>490</v>
      </c>
      <c r="HA760" s="1829" t="s">
        <v>2456</v>
      </c>
      <c r="HB760" s="1829" t="s">
        <v>2457</v>
      </c>
      <c r="HC760" s="1829" t="s">
        <v>2458</v>
      </c>
      <c r="HD760" s="1829" t="s">
        <v>2459</v>
      </c>
      <c r="HE760" s="1829" t="s">
        <v>490</v>
      </c>
      <c r="HF760" s="1829" t="s">
        <v>2456</v>
      </c>
      <c r="HG760" s="1829" t="s">
        <v>2457</v>
      </c>
      <c r="HH760" s="1829" t="s">
        <v>2458</v>
      </c>
      <c r="HI760" s="1829" t="s">
        <v>2459</v>
      </c>
      <c r="HJ760" s="1829" t="s">
        <v>490</v>
      </c>
      <c r="HK760" s="1829" t="s">
        <v>2456</v>
      </c>
      <c r="HL760" s="1829" t="s">
        <v>2457</v>
      </c>
      <c r="HM760" s="1829" t="s">
        <v>2458</v>
      </c>
      <c r="HN760" s="1829" t="s">
        <v>2459</v>
      </c>
      <c r="HO760" s="1829" t="s">
        <v>490</v>
      </c>
      <c r="HP760" s="1829" t="s">
        <v>2456</v>
      </c>
      <c r="HQ760" s="1829" t="s">
        <v>2457</v>
      </c>
      <c r="HR760" s="1829" t="s">
        <v>2458</v>
      </c>
      <c r="HS760" s="1829" t="s">
        <v>2459</v>
      </c>
      <c r="HT760" s="1829" t="s">
        <v>490</v>
      </c>
      <c r="HU760" s="1829" t="s">
        <v>2456</v>
      </c>
      <c r="HV760" s="1829" t="s">
        <v>2457</v>
      </c>
      <c r="HW760" s="1829" t="s">
        <v>2458</v>
      </c>
      <c r="HX760" s="1829" t="s">
        <v>2459</v>
      </c>
      <c r="HY760" s="1829" t="s">
        <v>490</v>
      </c>
      <c r="HZ760" s="1829" t="s">
        <v>2456</v>
      </c>
      <c r="IA760" s="1829" t="s">
        <v>2457</v>
      </c>
      <c r="IB760" s="1829" t="s">
        <v>2458</v>
      </c>
      <c r="IC760" s="1829" t="s">
        <v>2459</v>
      </c>
      <c r="II760" s="1830"/>
      <c r="IJ760" s="1830"/>
      <c r="IK760" s="1830"/>
      <c r="IL760" s="1830"/>
      <c r="IM760" s="1830"/>
      <c r="IN760" s="1830"/>
      <c r="IO760" s="1830"/>
      <c r="IP760" s="1830"/>
      <c r="IQ760" s="1830"/>
      <c r="IR760" s="1830"/>
      <c r="IS760" s="1830"/>
      <c r="IT760" s="1830"/>
      <c r="IU760" s="1830"/>
      <c r="IV760" s="1830"/>
      <c r="IW760" s="1830"/>
      <c r="IX760" s="1830"/>
      <c r="IY760" s="1830"/>
      <c r="IZ760" s="1830"/>
      <c r="JA760" s="1830"/>
      <c r="JB760" s="1830"/>
      <c r="JC760" s="1822" t="s">
        <v>3444</v>
      </c>
      <c r="JD760" s="1822" t="s">
        <v>3445</v>
      </c>
      <c r="JE760" s="1822" t="s">
        <v>3446</v>
      </c>
      <c r="JF760" s="1822" t="s">
        <v>3447</v>
      </c>
      <c r="JG760" s="1822" t="s">
        <v>3448</v>
      </c>
    </row>
    <row r="761" spans="1:277" s="1629" customFormat="1" ht="3" customHeight="1">
      <c r="B761" s="1818"/>
      <c r="D761" s="1818"/>
      <c r="P761" s="1832" t="s">
        <v>4777</v>
      </c>
      <c r="Q761" s="1833"/>
      <c r="R761" s="1834"/>
      <c r="S761" s="1834"/>
      <c r="T761" s="1834"/>
      <c r="U761" s="1834"/>
      <c r="W761" s="1752" t="s">
        <v>928</v>
      </c>
      <c r="X761" s="1752" t="s">
        <v>764</v>
      </c>
      <c r="Y761" s="1752" t="s">
        <v>765</v>
      </c>
      <c r="Z761" s="1752" t="s">
        <v>766</v>
      </c>
      <c r="AA761" s="1752" t="s">
        <v>767</v>
      </c>
      <c r="AB761" s="1752" t="s">
        <v>929</v>
      </c>
      <c r="AC761" s="1752" t="s">
        <v>2326</v>
      </c>
      <c r="AD761" s="1752" t="s">
        <v>2327</v>
      </c>
      <c r="AE761" s="1752" t="s">
        <v>2328</v>
      </c>
      <c r="AF761" s="1752" t="s">
        <v>2329</v>
      </c>
      <c r="AG761" s="1752" t="s">
        <v>930</v>
      </c>
      <c r="AH761" s="1752" t="s">
        <v>2330</v>
      </c>
      <c r="AI761" s="1752" t="s">
        <v>2331</v>
      </c>
      <c r="AJ761" s="1752" t="s">
        <v>2332</v>
      </c>
      <c r="AK761" s="1752" t="s">
        <v>2333</v>
      </c>
      <c r="AL761" s="1752" t="s">
        <v>130</v>
      </c>
      <c r="AM761" s="1752" t="s">
        <v>2334</v>
      </c>
      <c r="AN761" s="1752" t="s">
        <v>2335</v>
      </c>
      <c r="AO761" s="1752" t="s">
        <v>2336</v>
      </c>
      <c r="AP761" s="1752" t="s">
        <v>1158</v>
      </c>
      <c r="AQ761" s="1752" t="s">
        <v>561</v>
      </c>
      <c r="AR761" s="1752" t="s">
        <v>562</v>
      </c>
      <c r="AS761" s="1752" t="s">
        <v>582</v>
      </c>
      <c r="AT761" s="1752" t="s">
        <v>583</v>
      </c>
      <c r="AU761" s="1752" t="s">
        <v>584</v>
      </c>
      <c r="AV761" s="1752" t="s">
        <v>585</v>
      </c>
      <c r="AW761" s="1752" t="s">
        <v>586</v>
      </c>
      <c r="AX761" s="1752" t="s">
        <v>587</v>
      </c>
      <c r="AY761" s="1752" t="s">
        <v>588</v>
      </c>
      <c r="AZ761" s="1752" t="s">
        <v>589</v>
      </c>
      <c r="BA761" s="1752" t="s">
        <v>590</v>
      </c>
      <c r="BB761" s="1752" t="s">
        <v>591</v>
      </c>
      <c r="BC761" s="1752" t="s">
        <v>940</v>
      </c>
      <c r="BD761" s="1752" t="s">
        <v>941</v>
      </c>
      <c r="BE761" s="1752" t="s">
        <v>942</v>
      </c>
      <c r="BF761" s="1752" t="s">
        <v>501</v>
      </c>
      <c r="BG761" s="1752" t="s">
        <v>502</v>
      </c>
      <c r="BH761" s="1752" t="s">
        <v>503</v>
      </c>
      <c r="BI761" s="1752" t="s">
        <v>504</v>
      </c>
      <c r="BJ761" s="1752" t="s">
        <v>505</v>
      </c>
      <c r="BK761" s="1752" t="s">
        <v>889</v>
      </c>
      <c r="BL761" s="1752" t="s">
        <v>890</v>
      </c>
      <c r="BM761" s="1752" t="s">
        <v>891</v>
      </c>
      <c r="BN761" s="1752" t="s">
        <v>892</v>
      </c>
      <c r="BO761" s="1752" t="s">
        <v>893</v>
      </c>
      <c r="BP761" s="1752" t="s">
        <v>894</v>
      </c>
      <c r="BQ761" s="1752" t="s">
        <v>895</v>
      </c>
      <c r="BR761" s="1752" t="s">
        <v>896</v>
      </c>
      <c r="BS761" s="1752" t="s">
        <v>897</v>
      </c>
      <c r="BT761" s="1752" t="s">
        <v>898</v>
      </c>
      <c r="BU761" s="1752" t="s">
        <v>2446</v>
      </c>
      <c r="BV761" s="1752" t="s">
        <v>2447</v>
      </c>
      <c r="BW761" s="1752" t="s">
        <v>2448</v>
      </c>
      <c r="BX761" s="1752" t="s">
        <v>2449</v>
      </c>
      <c r="BY761" s="1752" t="s">
        <v>2450</v>
      </c>
      <c r="BZ761" s="1752" t="s">
        <v>118</v>
      </c>
      <c r="CA761" s="1752" t="s">
        <v>1161</v>
      </c>
      <c r="CB761" s="1752" t="s">
        <v>1162</v>
      </c>
      <c r="CC761" s="1752" t="s">
        <v>1225</v>
      </c>
      <c r="CD761" s="1752" t="s">
        <v>1226</v>
      </c>
      <c r="CE761" s="1822" t="s">
        <v>133</v>
      </c>
      <c r="CF761" s="1822" t="s">
        <v>1227</v>
      </c>
      <c r="CG761" s="1822" t="s">
        <v>1228</v>
      </c>
      <c r="CH761" s="1822" t="s">
        <v>1229</v>
      </c>
      <c r="CI761" s="1822" t="s">
        <v>1230</v>
      </c>
      <c r="CJ761" s="1822" t="s">
        <v>132</v>
      </c>
      <c r="CK761" s="1822" t="s">
        <v>920</v>
      </c>
      <c r="CL761" s="1822" t="s">
        <v>921</v>
      </c>
      <c r="CM761" s="1822" t="s">
        <v>922</v>
      </c>
      <c r="CN761" s="1822" t="s">
        <v>923</v>
      </c>
      <c r="CO761" s="1822" t="s">
        <v>131</v>
      </c>
      <c r="CP761" s="1822" t="s">
        <v>924</v>
      </c>
      <c r="CQ761" s="1822" t="s">
        <v>925</v>
      </c>
      <c r="CR761" s="1822" t="s">
        <v>926</v>
      </c>
      <c r="CS761" s="1822" t="s">
        <v>927</v>
      </c>
      <c r="CT761" s="1822" t="s">
        <v>817</v>
      </c>
      <c r="CU761" s="1822" t="s">
        <v>818</v>
      </c>
      <c r="CV761" s="1822" t="s">
        <v>819</v>
      </c>
      <c r="CW761" s="1822" t="s">
        <v>820</v>
      </c>
      <c r="CX761" s="1822" t="s">
        <v>821</v>
      </c>
      <c r="CY761" s="1822" t="s">
        <v>966</v>
      </c>
      <c r="CZ761" s="1822" t="s">
        <v>967</v>
      </c>
      <c r="DA761" s="1822" t="s">
        <v>968</v>
      </c>
      <c r="DB761" s="1822" t="s">
        <v>969</v>
      </c>
      <c r="DC761" s="1822" t="s">
        <v>2445</v>
      </c>
      <c r="DD761" s="1822" t="s">
        <v>1445</v>
      </c>
      <c r="DE761" s="1822" t="s">
        <v>1446</v>
      </c>
      <c r="DF761" s="1822" t="s">
        <v>1447</v>
      </c>
      <c r="DG761" s="1822" t="s">
        <v>1448</v>
      </c>
      <c r="DH761" s="1822" t="s">
        <v>1449</v>
      </c>
      <c r="DI761" s="1822" t="s">
        <v>438</v>
      </c>
      <c r="DJ761" s="1822" t="s">
        <v>439</v>
      </c>
      <c r="DK761" s="1822" t="s">
        <v>440</v>
      </c>
      <c r="DL761" s="1822" t="s">
        <v>441</v>
      </c>
      <c r="DM761" s="1822" t="s">
        <v>442</v>
      </c>
      <c r="DN761" s="1822" t="s">
        <v>17</v>
      </c>
      <c r="DO761" s="1822" t="s">
        <v>18</v>
      </c>
      <c r="DP761" s="1822" t="s">
        <v>19</v>
      </c>
      <c r="DQ761" s="1822" t="s">
        <v>20</v>
      </c>
      <c r="DR761" s="1822" t="s">
        <v>21</v>
      </c>
      <c r="DS761" s="1822" t="s">
        <v>224</v>
      </c>
      <c r="DT761" s="1822" t="s">
        <v>225</v>
      </c>
      <c r="DU761" s="1822" t="s">
        <v>226</v>
      </c>
      <c r="DV761" s="1822" t="s">
        <v>1824</v>
      </c>
      <c r="DW761" s="1822" t="s">
        <v>1825</v>
      </c>
      <c r="DX761" s="1822" t="s">
        <v>1826</v>
      </c>
      <c r="DY761" s="1822" t="s">
        <v>598</v>
      </c>
      <c r="DZ761" s="1822" t="s">
        <v>599</v>
      </c>
      <c r="EA761" s="1822" t="s">
        <v>600</v>
      </c>
      <c r="EB761" s="1822" t="s">
        <v>601</v>
      </c>
      <c r="EC761" s="1822" t="s">
        <v>22</v>
      </c>
      <c r="ED761" s="1822" t="s">
        <v>23</v>
      </c>
      <c r="EE761" s="1822" t="s">
        <v>24</v>
      </c>
      <c r="EF761" s="1822" t="s">
        <v>25</v>
      </c>
      <c r="EG761" s="1822" t="s">
        <v>26</v>
      </c>
      <c r="EH761" s="1822" t="s">
        <v>500</v>
      </c>
      <c r="EI761" s="1822" t="s">
        <v>434</v>
      </c>
      <c r="EJ761" s="1822" t="s">
        <v>435</v>
      </c>
      <c r="EK761" s="1822" t="s">
        <v>436</v>
      </c>
      <c r="EL761" s="1822" t="s">
        <v>437</v>
      </c>
      <c r="EM761" s="1822" t="s">
        <v>2224</v>
      </c>
      <c r="EN761" s="1822" t="s">
        <v>2225</v>
      </c>
      <c r="EO761" s="1822" t="s">
        <v>2226</v>
      </c>
      <c r="EP761" s="1822" t="s">
        <v>1491</v>
      </c>
      <c r="EQ761" s="1822" t="s">
        <v>1492</v>
      </c>
      <c r="ER761" s="1822" t="s">
        <v>27</v>
      </c>
      <c r="ES761" s="1822" t="s">
        <v>28</v>
      </c>
      <c r="ET761" s="1822" t="s">
        <v>29</v>
      </c>
      <c r="EU761" s="1822" t="s">
        <v>30</v>
      </c>
      <c r="EV761" s="1822" t="s">
        <v>31</v>
      </c>
      <c r="EW761" s="1828"/>
      <c r="EX761" s="1828"/>
      <c r="EY761" s="1828"/>
      <c r="EZ761" s="1828"/>
      <c r="FA761" s="1828"/>
      <c r="FB761" s="1828"/>
      <c r="FC761" s="1828"/>
      <c r="FD761" s="1828"/>
      <c r="FE761" s="1828"/>
      <c r="FF761" s="1828"/>
      <c r="FG761" s="1828"/>
      <c r="FH761" s="1828"/>
      <c r="FI761" s="1828"/>
      <c r="FJ761" s="1828"/>
      <c r="FK761" s="1828"/>
      <c r="FL761" s="1828"/>
      <c r="FM761" s="1828"/>
      <c r="FN761" s="1828"/>
      <c r="FO761" s="1828"/>
      <c r="FP761" s="1828"/>
      <c r="FQ761" s="1828"/>
      <c r="FR761" s="1828"/>
      <c r="FS761" s="1828"/>
      <c r="FT761" s="1828"/>
      <c r="FU761" s="1828"/>
      <c r="FV761" s="1828"/>
      <c r="FW761" s="1828"/>
      <c r="FX761" s="1828"/>
      <c r="FY761" s="1828"/>
      <c r="FZ761" s="1828"/>
      <c r="GA761" s="1828"/>
      <c r="GB761" s="1828"/>
      <c r="GC761" s="1828"/>
      <c r="GD761" s="1828"/>
      <c r="GE761" s="1828"/>
      <c r="GF761" s="1828"/>
      <c r="GG761" s="1828"/>
      <c r="GH761" s="1828"/>
      <c r="GI761" s="1828"/>
      <c r="GJ761" s="1828"/>
      <c r="GK761" s="1828"/>
      <c r="GL761" s="1828"/>
      <c r="GM761" s="1828"/>
      <c r="GN761" s="1828"/>
      <c r="GO761" s="1828"/>
      <c r="GP761" s="1828"/>
      <c r="GQ761" s="1828"/>
      <c r="GR761" s="1828"/>
      <c r="GS761" s="1828"/>
      <c r="GT761" s="1828"/>
      <c r="GU761" s="1828"/>
      <c r="GV761" s="1828"/>
      <c r="GW761" s="1828"/>
      <c r="GX761" s="1828"/>
      <c r="GY761" s="1828"/>
      <c r="GZ761" s="1828"/>
      <c r="HA761" s="1828"/>
      <c r="HB761" s="1828"/>
      <c r="HC761" s="1828"/>
      <c r="HD761" s="1828"/>
      <c r="HE761" s="1828"/>
      <c r="HF761" s="1828"/>
      <c r="HG761" s="1828"/>
      <c r="HH761" s="1828"/>
      <c r="HI761" s="1828"/>
      <c r="HJ761" s="1828"/>
      <c r="HK761" s="1828"/>
      <c r="HL761" s="1828"/>
      <c r="HM761" s="1828"/>
      <c r="HN761" s="1828"/>
      <c r="HO761" s="1828"/>
      <c r="HP761" s="1828"/>
      <c r="HQ761" s="1828"/>
      <c r="HR761" s="1828"/>
      <c r="HS761" s="1828"/>
      <c r="ID761" s="1822" t="s">
        <v>1637</v>
      </c>
      <c r="IE761" s="1822" t="s">
        <v>2540</v>
      </c>
      <c r="IF761" s="1822" t="s">
        <v>2541</v>
      </c>
      <c r="IG761" s="1822" t="s">
        <v>388</v>
      </c>
      <c r="IH761" s="1822" t="s">
        <v>389</v>
      </c>
      <c r="II761" s="1822" t="s">
        <v>390</v>
      </c>
      <c r="IJ761" s="1822" t="s">
        <v>391</v>
      </c>
      <c r="IK761" s="1822" t="s">
        <v>392</v>
      </c>
      <c r="IL761" s="1822" t="s">
        <v>393</v>
      </c>
      <c r="IM761" s="1822" t="s">
        <v>394</v>
      </c>
      <c r="IN761" s="1822" t="s">
        <v>204</v>
      </c>
      <c r="IO761" s="1822" t="s">
        <v>205</v>
      </c>
      <c r="IP761" s="1822" t="s">
        <v>206</v>
      </c>
      <c r="IQ761" s="1822" t="s">
        <v>207</v>
      </c>
      <c r="IR761" s="1822" t="s">
        <v>208</v>
      </c>
      <c r="IS761" s="1822" t="s">
        <v>209</v>
      </c>
      <c r="IT761" s="1822" t="s">
        <v>210</v>
      </c>
      <c r="IU761" s="1822" t="s">
        <v>211</v>
      </c>
      <c r="IV761" s="1822" t="s">
        <v>212</v>
      </c>
      <c r="IW761" s="1822" t="s">
        <v>213</v>
      </c>
      <c r="IX761" s="1822" t="s">
        <v>214</v>
      </c>
      <c r="IY761" s="1822" t="s">
        <v>215</v>
      </c>
      <c r="IZ761" s="1822" t="s">
        <v>216</v>
      </c>
      <c r="JA761" s="1822" t="s">
        <v>217</v>
      </c>
      <c r="JB761" s="1822" t="s">
        <v>218</v>
      </c>
      <c r="JC761" s="1822"/>
      <c r="JD761" s="1822"/>
      <c r="JE761" s="1822"/>
      <c r="JF761" s="1822"/>
      <c r="JG761" s="1822"/>
    </row>
    <row r="762" spans="1:277" s="1629" customFormat="1" ht="13.15" customHeight="1">
      <c r="A762" s="1835" t="str">
        <f>IF(A805&gt;0,"Finish Row!","")</f>
        <v/>
      </c>
      <c r="B762" s="1818" t="s">
        <v>1860</v>
      </c>
      <c r="E762" s="1818"/>
      <c r="G762" s="1828">
        <f>'Part VI-Revenues &amp; Expenses'!G5</f>
        <v>0</v>
      </c>
      <c r="H762" s="1818"/>
      <c r="I762" s="1836" t="s">
        <v>806</v>
      </c>
      <c r="J762" s="1836" t="s">
        <v>3587</v>
      </c>
      <c r="K762" s="1834"/>
      <c r="L762" s="1834"/>
      <c r="M762" s="1819" t="s">
        <v>581</v>
      </c>
      <c r="O762" s="1837" t="s">
        <v>1045</v>
      </c>
      <c r="P762" s="1832"/>
      <c r="Q762" s="1833"/>
      <c r="W762" s="1752"/>
      <c r="X762" s="1752"/>
      <c r="Y762" s="1752"/>
      <c r="Z762" s="1752"/>
      <c r="AA762" s="1752"/>
      <c r="AB762" s="1752"/>
      <c r="AC762" s="1752"/>
      <c r="AD762" s="1752"/>
      <c r="AE762" s="1752"/>
      <c r="AF762" s="1752"/>
      <c r="AG762" s="1752"/>
      <c r="AH762" s="1752"/>
      <c r="AI762" s="1752"/>
      <c r="AJ762" s="1752"/>
      <c r="AK762" s="1752"/>
      <c r="AL762" s="1752"/>
      <c r="AM762" s="1752"/>
      <c r="AN762" s="1752"/>
      <c r="AO762" s="1752"/>
      <c r="AP762" s="1752"/>
      <c r="AQ762" s="1752"/>
      <c r="AR762" s="1752"/>
      <c r="AS762" s="1752"/>
      <c r="AT762" s="1752"/>
      <c r="AU762" s="1752"/>
      <c r="AV762" s="1752"/>
      <c r="AW762" s="1752"/>
      <c r="AX762" s="1752"/>
      <c r="AY762" s="1752"/>
      <c r="AZ762" s="1752"/>
      <c r="BA762" s="1752"/>
      <c r="BB762" s="1752"/>
      <c r="BC762" s="1752"/>
      <c r="BD762" s="1752"/>
      <c r="BE762" s="1752"/>
      <c r="BF762" s="1752"/>
      <c r="BG762" s="1752"/>
      <c r="BH762" s="1752"/>
      <c r="BI762" s="1752"/>
      <c r="BJ762" s="1752"/>
      <c r="BK762" s="1752"/>
      <c r="BL762" s="1752"/>
      <c r="BM762" s="1752"/>
      <c r="BN762" s="1752"/>
      <c r="BO762" s="1752"/>
      <c r="BP762" s="1752"/>
      <c r="BQ762" s="1752"/>
      <c r="BR762" s="1752"/>
      <c r="BS762" s="1752"/>
      <c r="BT762" s="1752"/>
      <c r="BU762" s="1752"/>
      <c r="BV762" s="1752"/>
      <c r="BW762" s="1752"/>
      <c r="BX762" s="1752"/>
      <c r="BY762" s="1752"/>
      <c r="BZ762" s="1752"/>
      <c r="CA762" s="1752"/>
      <c r="CB762" s="1752"/>
      <c r="CC762" s="1752"/>
      <c r="CD762" s="1752"/>
      <c r="CE762" s="1822"/>
      <c r="CF762" s="1822"/>
      <c r="CG762" s="1822"/>
      <c r="CH762" s="1822"/>
      <c r="CI762" s="1822"/>
      <c r="CJ762" s="1822"/>
      <c r="CK762" s="1822"/>
      <c r="CL762" s="1822"/>
      <c r="CM762" s="1822"/>
      <c r="CN762" s="1822"/>
      <c r="CO762" s="1822"/>
      <c r="CP762" s="1822"/>
      <c r="CQ762" s="1822"/>
      <c r="CR762" s="1822"/>
      <c r="CS762" s="1822"/>
      <c r="CT762" s="1822"/>
      <c r="CU762" s="1822"/>
      <c r="CV762" s="1822"/>
      <c r="CW762" s="1822"/>
      <c r="CX762" s="1822"/>
      <c r="CY762" s="1822"/>
      <c r="CZ762" s="1822"/>
      <c r="DA762" s="1822"/>
      <c r="DB762" s="1822"/>
      <c r="DC762" s="1822"/>
      <c r="DD762" s="1822"/>
      <c r="DE762" s="1822"/>
      <c r="DF762" s="1822"/>
      <c r="DG762" s="1822"/>
      <c r="DH762" s="1822"/>
      <c r="DI762" s="1822"/>
      <c r="DJ762" s="1822"/>
      <c r="DK762" s="1822"/>
      <c r="DL762" s="1822"/>
      <c r="DM762" s="1822"/>
      <c r="DN762" s="1822"/>
      <c r="DO762" s="1822"/>
      <c r="DP762" s="1822"/>
      <c r="DQ762" s="1822"/>
      <c r="DR762" s="1822"/>
      <c r="DS762" s="1822"/>
      <c r="DT762" s="1822"/>
      <c r="DU762" s="1822"/>
      <c r="DV762" s="1822"/>
      <c r="DW762" s="1822"/>
      <c r="DX762" s="1822"/>
      <c r="DY762" s="1822"/>
      <c r="DZ762" s="1822"/>
      <c r="EA762" s="1822"/>
      <c r="EB762" s="1822"/>
      <c r="EC762" s="1822"/>
      <c r="ED762" s="1822"/>
      <c r="EE762" s="1822"/>
      <c r="EF762" s="1822"/>
      <c r="EG762" s="1822"/>
      <c r="EH762" s="1822"/>
      <c r="EI762" s="1822"/>
      <c r="EJ762" s="1822"/>
      <c r="EK762" s="1822"/>
      <c r="EL762" s="1822"/>
      <c r="EM762" s="1822"/>
      <c r="EN762" s="1822"/>
      <c r="EO762" s="1822"/>
      <c r="EP762" s="1822"/>
      <c r="EQ762" s="1822"/>
      <c r="ER762" s="1822"/>
      <c r="ES762" s="1822"/>
      <c r="ET762" s="1822"/>
      <c r="EU762" s="1822"/>
      <c r="EV762" s="1822"/>
      <c r="EW762" s="1828"/>
      <c r="EX762" s="1828"/>
      <c r="EY762" s="1828"/>
      <c r="EZ762" s="1828"/>
      <c r="FA762" s="1828"/>
      <c r="FB762" s="1828"/>
      <c r="FC762" s="1828"/>
      <c r="FD762" s="1828"/>
      <c r="FE762" s="1828"/>
      <c r="FF762" s="1828"/>
      <c r="FG762" s="1828"/>
      <c r="FH762" s="1828"/>
      <c r="FI762" s="1828"/>
      <c r="FJ762" s="1828"/>
      <c r="FK762" s="1828"/>
      <c r="FL762" s="1828"/>
      <c r="FM762" s="1828"/>
      <c r="FN762" s="1828"/>
      <c r="FO762" s="1828"/>
      <c r="FP762" s="1828"/>
      <c r="FQ762" s="1828"/>
      <c r="FR762" s="1828"/>
      <c r="FS762" s="1828"/>
      <c r="FT762" s="1828"/>
      <c r="FU762" s="1828"/>
      <c r="FV762" s="1828"/>
      <c r="FW762" s="1828"/>
      <c r="FX762" s="1828"/>
      <c r="FY762" s="1828"/>
      <c r="FZ762" s="1828"/>
      <c r="GA762" s="1828"/>
      <c r="GB762" s="1828"/>
      <c r="GC762" s="1828"/>
      <c r="GD762" s="1828"/>
      <c r="GE762" s="1828"/>
      <c r="GF762" s="1828"/>
      <c r="GG762" s="1828"/>
      <c r="GH762" s="1828"/>
      <c r="GI762" s="1828"/>
      <c r="GJ762" s="1828"/>
      <c r="GK762" s="1828"/>
      <c r="GL762" s="1828"/>
      <c r="GM762" s="1828"/>
      <c r="GN762" s="1828"/>
      <c r="GO762" s="1828"/>
      <c r="GP762" s="1828"/>
      <c r="GQ762" s="1828"/>
      <c r="GR762" s="1828"/>
      <c r="GS762" s="1828"/>
      <c r="GT762" s="1828"/>
      <c r="GU762" s="1828"/>
      <c r="GV762" s="1828"/>
      <c r="GW762" s="1828"/>
      <c r="GX762" s="1828"/>
      <c r="GY762" s="1828"/>
      <c r="GZ762" s="1828"/>
      <c r="HA762" s="1828"/>
      <c r="HB762" s="1828"/>
      <c r="HC762" s="1828"/>
      <c r="HD762" s="1828"/>
      <c r="HE762" s="1828"/>
      <c r="HF762" s="1828"/>
      <c r="HG762" s="1828"/>
      <c r="HH762" s="1828"/>
      <c r="HI762" s="1828"/>
      <c r="HJ762" s="1828"/>
      <c r="HK762" s="1828"/>
      <c r="HL762" s="1828"/>
      <c r="HM762" s="1828"/>
      <c r="HN762" s="1828"/>
      <c r="HO762" s="1828"/>
      <c r="HP762" s="1828"/>
      <c r="HQ762" s="1828"/>
      <c r="HR762" s="1828"/>
      <c r="HS762" s="1828"/>
      <c r="ID762" s="1822"/>
      <c r="IE762" s="1822"/>
      <c r="IF762" s="1822"/>
      <c r="IG762" s="1822"/>
      <c r="IH762" s="1822"/>
      <c r="II762" s="1822"/>
      <c r="IJ762" s="1822"/>
      <c r="IK762" s="1822"/>
      <c r="IL762" s="1822"/>
      <c r="IM762" s="1822"/>
      <c r="IN762" s="1822"/>
      <c r="IO762" s="1822"/>
      <c r="IP762" s="1822"/>
      <c r="IQ762" s="1822"/>
      <c r="IR762" s="1822"/>
      <c r="IS762" s="1822"/>
      <c r="IT762" s="1822"/>
      <c r="IU762" s="1822"/>
      <c r="IV762" s="1822"/>
      <c r="IW762" s="1822"/>
      <c r="IX762" s="1822"/>
      <c r="IY762" s="1822"/>
      <c r="IZ762" s="1822"/>
      <c r="JA762" s="1822"/>
      <c r="JB762" s="1822"/>
      <c r="JC762" s="1822"/>
      <c r="JD762" s="1822"/>
      <c r="JE762" s="1822"/>
      <c r="JF762" s="1822"/>
      <c r="JG762" s="1822"/>
      <c r="JH762" s="1834" t="s">
        <v>3439</v>
      </c>
      <c r="JI762" s="1834" t="s">
        <v>3440</v>
      </c>
      <c r="JJ762" s="1834" t="s">
        <v>3441</v>
      </c>
      <c r="JK762" s="1834" t="s">
        <v>3442</v>
      </c>
      <c r="JL762" s="1834" t="s">
        <v>3443</v>
      </c>
      <c r="JM762" s="1822" t="s">
        <v>3453</v>
      </c>
      <c r="JN762" s="1822" t="s">
        <v>3455</v>
      </c>
      <c r="JO762" s="1822" t="s">
        <v>3456</v>
      </c>
      <c r="JP762" s="1822" t="s">
        <v>3457</v>
      </c>
      <c r="JQ762" s="1822" t="s">
        <v>3458</v>
      </c>
    </row>
    <row r="763" spans="1:277" s="1629" customFormat="1" ht="13.15" customHeight="1">
      <c r="A763" s="1835"/>
      <c r="B763" s="1838" t="s">
        <v>1818</v>
      </c>
      <c r="E763" s="1818"/>
      <c r="F763" s="1824" t="str">
        <f>'Part VI-Revenues &amp; Expenses'!F6</f>
        <v>No</v>
      </c>
      <c r="G763" s="1836" t="s">
        <v>3691</v>
      </c>
      <c r="H763" s="1832" t="s">
        <v>3919</v>
      </c>
      <c r="I763" s="1836" t="s">
        <v>807</v>
      </c>
      <c r="J763" s="1836" t="s">
        <v>3694</v>
      </c>
      <c r="K763" s="1834"/>
      <c r="L763" s="1834"/>
      <c r="M763" s="1839" t="str">
        <f>'Part I-Project Information'!$O$40</f>
        <v>Macon</v>
      </c>
      <c r="N763" s="1839"/>
      <c r="O763" s="1840">
        <f>VLOOKUP('Part I-Project Information'!$O$40,'DCA Underwriting Assumptions'!$C$155:$D$265,2)</f>
        <v>49600</v>
      </c>
      <c r="P763" s="1832"/>
      <c r="Q763" s="1833"/>
      <c r="S763" s="1818" t="s">
        <v>2715</v>
      </c>
      <c r="T763" s="1818"/>
      <c r="W763" s="1752"/>
      <c r="X763" s="1752"/>
      <c r="Y763" s="1752"/>
      <c r="Z763" s="1752"/>
      <c r="AA763" s="1752"/>
      <c r="AB763" s="1752"/>
      <c r="AC763" s="1752"/>
      <c r="AD763" s="1752"/>
      <c r="AE763" s="1752"/>
      <c r="AF763" s="1752"/>
      <c r="AG763" s="1752"/>
      <c r="AH763" s="1752"/>
      <c r="AI763" s="1752"/>
      <c r="AJ763" s="1752"/>
      <c r="AK763" s="1752"/>
      <c r="AL763" s="1752"/>
      <c r="AM763" s="1752"/>
      <c r="AN763" s="1752"/>
      <c r="AO763" s="1752"/>
      <c r="AP763" s="1752"/>
      <c r="AQ763" s="1752"/>
      <c r="AR763" s="1752"/>
      <c r="AS763" s="1752"/>
      <c r="AT763" s="1752"/>
      <c r="AU763" s="1752"/>
      <c r="AV763" s="1752"/>
      <c r="AW763" s="1752"/>
      <c r="AX763" s="1752"/>
      <c r="AY763" s="1752"/>
      <c r="AZ763" s="1752"/>
      <c r="BA763" s="1752"/>
      <c r="BB763" s="1752"/>
      <c r="BC763" s="1752"/>
      <c r="BD763" s="1752"/>
      <c r="BE763" s="1752"/>
      <c r="BF763" s="1752"/>
      <c r="BG763" s="1752"/>
      <c r="BH763" s="1752"/>
      <c r="BI763" s="1752"/>
      <c r="BJ763" s="1752"/>
      <c r="BK763" s="1752"/>
      <c r="BL763" s="1752"/>
      <c r="BM763" s="1752"/>
      <c r="BN763" s="1752"/>
      <c r="BO763" s="1752"/>
      <c r="BP763" s="1752"/>
      <c r="BQ763" s="1752"/>
      <c r="BR763" s="1752"/>
      <c r="BS763" s="1752"/>
      <c r="BT763" s="1752"/>
      <c r="BU763" s="1752"/>
      <c r="BV763" s="1752"/>
      <c r="BW763" s="1752"/>
      <c r="BX763" s="1752"/>
      <c r="BY763" s="1752"/>
      <c r="BZ763" s="1752"/>
      <c r="CA763" s="1752"/>
      <c r="CB763" s="1752"/>
      <c r="CC763" s="1752"/>
      <c r="CD763" s="1752"/>
      <c r="CE763" s="1822"/>
      <c r="CF763" s="1822"/>
      <c r="CG763" s="1822"/>
      <c r="CH763" s="1822"/>
      <c r="CI763" s="1822"/>
      <c r="CJ763" s="1822"/>
      <c r="CK763" s="1822"/>
      <c r="CL763" s="1822"/>
      <c r="CM763" s="1822"/>
      <c r="CN763" s="1822"/>
      <c r="CO763" s="1822"/>
      <c r="CP763" s="1822"/>
      <c r="CQ763" s="1822"/>
      <c r="CR763" s="1822"/>
      <c r="CS763" s="1822"/>
      <c r="CT763" s="1822"/>
      <c r="CU763" s="1822"/>
      <c r="CV763" s="1822"/>
      <c r="CW763" s="1822"/>
      <c r="CX763" s="1822"/>
      <c r="CY763" s="1822"/>
      <c r="CZ763" s="1822"/>
      <c r="DA763" s="1822"/>
      <c r="DB763" s="1822"/>
      <c r="DC763" s="1822"/>
      <c r="DD763" s="1822"/>
      <c r="DE763" s="1822"/>
      <c r="DF763" s="1822"/>
      <c r="DG763" s="1822"/>
      <c r="DH763" s="1822"/>
      <c r="DI763" s="1822"/>
      <c r="DJ763" s="1822"/>
      <c r="DK763" s="1822"/>
      <c r="DL763" s="1822"/>
      <c r="DM763" s="1822"/>
      <c r="DN763" s="1822"/>
      <c r="DO763" s="1822"/>
      <c r="DP763" s="1822"/>
      <c r="DQ763" s="1822"/>
      <c r="DR763" s="1822"/>
      <c r="DS763" s="1822"/>
      <c r="DT763" s="1822"/>
      <c r="DU763" s="1822"/>
      <c r="DV763" s="1822"/>
      <c r="DW763" s="1822"/>
      <c r="DX763" s="1822"/>
      <c r="DY763" s="1822"/>
      <c r="DZ763" s="1822"/>
      <c r="EA763" s="1822"/>
      <c r="EB763" s="1822"/>
      <c r="EC763" s="1822"/>
      <c r="ED763" s="1822"/>
      <c r="EE763" s="1822"/>
      <c r="EF763" s="1822"/>
      <c r="EG763" s="1822"/>
      <c r="EH763" s="1822"/>
      <c r="EI763" s="1822"/>
      <c r="EJ763" s="1822"/>
      <c r="EK763" s="1822"/>
      <c r="EL763" s="1822"/>
      <c r="EM763" s="1822"/>
      <c r="EN763" s="1822"/>
      <c r="EO763" s="1822"/>
      <c r="EP763" s="1822"/>
      <c r="EQ763" s="1822"/>
      <c r="ER763" s="1822"/>
      <c r="ES763" s="1822"/>
      <c r="ET763" s="1822"/>
      <c r="EU763" s="1822"/>
      <c r="EV763" s="1822"/>
      <c r="EW763" s="1828"/>
      <c r="EX763" s="1828"/>
      <c r="EY763" s="1828"/>
      <c r="EZ763" s="1828"/>
      <c r="FA763" s="1828"/>
      <c r="FB763" s="1828"/>
      <c r="FC763" s="1828"/>
      <c r="FD763" s="1828"/>
      <c r="FE763" s="1828"/>
      <c r="FF763" s="1828"/>
      <c r="FG763" s="1828"/>
      <c r="FH763" s="1828"/>
      <c r="FI763" s="1828"/>
      <c r="FJ763" s="1828"/>
      <c r="FK763" s="1828"/>
      <c r="FL763" s="1828"/>
      <c r="FM763" s="1828"/>
      <c r="FN763" s="1828"/>
      <c r="FO763" s="1828"/>
      <c r="FP763" s="1828"/>
      <c r="FQ763" s="1828"/>
      <c r="FR763" s="1828"/>
      <c r="FS763" s="1828"/>
      <c r="FT763" s="1828"/>
      <c r="FU763" s="1828"/>
      <c r="FV763" s="1828"/>
      <c r="FW763" s="1828"/>
      <c r="FX763" s="1828"/>
      <c r="FY763" s="1828"/>
      <c r="FZ763" s="1828"/>
      <c r="GA763" s="1828"/>
      <c r="GB763" s="1828"/>
      <c r="GC763" s="1828"/>
      <c r="GD763" s="1828"/>
      <c r="GE763" s="1828"/>
      <c r="GF763" s="1828"/>
      <c r="GG763" s="1828"/>
      <c r="GH763" s="1828"/>
      <c r="GI763" s="1828"/>
      <c r="GJ763" s="1828"/>
      <c r="GK763" s="1828"/>
      <c r="GL763" s="1828"/>
      <c r="GM763" s="1828"/>
      <c r="GN763" s="1828"/>
      <c r="GO763" s="1828"/>
      <c r="GP763" s="1828"/>
      <c r="GQ763" s="1828"/>
      <c r="GR763" s="1828"/>
      <c r="GS763" s="1828"/>
      <c r="GT763" s="1828"/>
      <c r="GU763" s="1828"/>
      <c r="GV763" s="1828"/>
      <c r="GW763" s="1828"/>
      <c r="GX763" s="1828"/>
      <c r="GY763" s="1828"/>
      <c r="GZ763" s="1828"/>
      <c r="HA763" s="1828"/>
      <c r="HB763" s="1828"/>
      <c r="HC763" s="1828"/>
      <c r="HD763" s="1828"/>
      <c r="HE763" s="1828"/>
      <c r="HF763" s="1828"/>
      <c r="HG763" s="1828"/>
      <c r="HH763" s="1828"/>
      <c r="HI763" s="1828"/>
      <c r="HJ763" s="1828"/>
      <c r="HK763" s="1828"/>
      <c r="HL763" s="1828"/>
      <c r="HM763" s="1828"/>
      <c r="HN763" s="1828"/>
      <c r="HO763" s="1828"/>
      <c r="HP763" s="1828"/>
      <c r="HQ763" s="1828"/>
      <c r="HR763" s="1828"/>
      <c r="HS763" s="1828"/>
      <c r="ID763" s="1822"/>
      <c r="IE763" s="1822"/>
      <c r="IF763" s="1822"/>
      <c r="IG763" s="1822"/>
      <c r="IH763" s="1822"/>
      <c r="II763" s="1822"/>
      <c r="IJ763" s="1822"/>
      <c r="IK763" s="1822"/>
      <c r="IL763" s="1822"/>
      <c r="IM763" s="1822"/>
      <c r="IN763" s="1822"/>
      <c r="IO763" s="1822"/>
      <c r="IP763" s="1822"/>
      <c r="IQ763" s="1822"/>
      <c r="IR763" s="1822"/>
      <c r="IS763" s="1822"/>
      <c r="IT763" s="1822"/>
      <c r="IU763" s="1822"/>
      <c r="IV763" s="1822"/>
      <c r="IW763" s="1822"/>
      <c r="IX763" s="1822"/>
      <c r="IY763" s="1822"/>
      <c r="IZ763" s="1822"/>
      <c r="JA763" s="1822"/>
      <c r="JB763" s="1822"/>
      <c r="JC763" s="1822"/>
      <c r="JD763" s="1822"/>
      <c r="JE763" s="1822"/>
      <c r="JF763" s="1822"/>
      <c r="JG763" s="1822"/>
      <c r="JH763" s="1834"/>
      <c r="JI763" s="1834"/>
      <c r="JJ763" s="1834"/>
      <c r="JK763" s="1834"/>
      <c r="JL763" s="1834"/>
      <c r="JM763" s="1822"/>
      <c r="JN763" s="1822"/>
      <c r="JO763" s="1822"/>
      <c r="JP763" s="1822"/>
      <c r="JQ763" s="1822"/>
    </row>
    <row r="764" spans="1:277" s="1629" customFormat="1" ht="11.25" customHeight="1">
      <c r="A764" s="1835"/>
      <c r="B764" s="1818"/>
      <c r="D764" s="1818"/>
      <c r="G764" s="1836" t="s">
        <v>3692</v>
      </c>
      <c r="H764" s="1832"/>
      <c r="I764" s="1792" t="s">
        <v>3879</v>
      </c>
      <c r="J764" s="1836" t="s">
        <v>3695</v>
      </c>
      <c r="K764" s="1834"/>
      <c r="L764" s="1834"/>
      <c r="P764" s="1832"/>
      <c r="Q764" s="1833"/>
      <c r="R764" s="1834"/>
      <c r="S764" s="1841"/>
      <c r="T764" s="1842" t="s">
        <v>2712</v>
      </c>
      <c r="U764" s="1834"/>
      <c r="W764" s="1752"/>
      <c r="X764" s="1752"/>
      <c r="Y764" s="1752"/>
      <c r="Z764" s="1752"/>
      <c r="AA764" s="1752"/>
      <c r="AB764" s="1752"/>
      <c r="AC764" s="1752"/>
      <c r="AD764" s="1752"/>
      <c r="AE764" s="1752"/>
      <c r="AF764" s="1752"/>
      <c r="AG764" s="1752"/>
      <c r="AH764" s="1752"/>
      <c r="AI764" s="1752"/>
      <c r="AJ764" s="1752"/>
      <c r="AK764" s="1752"/>
      <c r="AL764" s="1752"/>
      <c r="AM764" s="1752"/>
      <c r="AN764" s="1752"/>
      <c r="AO764" s="1752"/>
      <c r="AP764" s="1752"/>
      <c r="AQ764" s="1752"/>
      <c r="AR764" s="1752"/>
      <c r="AS764" s="1752"/>
      <c r="AT764" s="1752"/>
      <c r="AU764" s="1752"/>
      <c r="AV764" s="1752"/>
      <c r="AW764" s="1752"/>
      <c r="AX764" s="1752"/>
      <c r="AY764" s="1752"/>
      <c r="AZ764" s="1752"/>
      <c r="BA764" s="1752"/>
      <c r="BB764" s="1752"/>
      <c r="BC764" s="1752"/>
      <c r="BD764" s="1752"/>
      <c r="BE764" s="1752"/>
      <c r="BF764" s="1752"/>
      <c r="BG764" s="1752"/>
      <c r="BH764" s="1752"/>
      <c r="BI764" s="1752"/>
      <c r="BJ764" s="1752"/>
      <c r="BK764" s="1752"/>
      <c r="BL764" s="1752"/>
      <c r="BM764" s="1752"/>
      <c r="BN764" s="1752"/>
      <c r="BO764" s="1752"/>
      <c r="BP764" s="1752"/>
      <c r="BQ764" s="1752"/>
      <c r="BR764" s="1752"/>
      <c r="BS764" s="1752"/>
      <c r="BT764" s="1752"/>
      <c r="BU764" s="1752"/>
      <c r="BV764" s="1752"/>
      <c r="BW764" s="1752"/>
      <c r="BX764" s="1752"/>
      <c r="BY764" s="1752"/>
      <c r="BZ764" s="1752"/>
      <c r="CA764" s="1752"/>
      <c r="CB764" s="1752"/>
      <c r="CC764" s="1752"/>
      <c r="CD764" s="1752"/>
      <c r="CE764" s="1822"/>
      <c r="CF764" s="1822"/>
      <c r="CG764" s="1822"/>
      <c r="CH764" s="1822"/>
      <c r="CI764" s="1822"/>
      <c r="CJ764" s="1822"/>
      <c r="CK764" s="1822"/>
      <c r="CL764" s="1822"/>
      <c r="CM764" s="1822"/>
      <c r="CN764" s="1822"/>
      <c r="CO764" s="1822"/>
      <c r="CP764" s="1822"/>
      <c r="CQ764" s="1822"/>
      <c r="CR764" s="1822"/>
      <c r="CS764" s="1822"/>
      <c r="CT764" s="1822"/>
      <c r="CU764" s="1822"/>
      <c r="CV764" s="1822"/>
      <c r="CW764" s="1822"/>
      <c r="CX764" s="1822"/>
      <c r="CY764" s="1822"/>
      <c r="CZ764" s="1822"/>
      <c r="DA764" s="1822"/>
      <c r="DB764" s="1822"/>
      <c r="DC764" s="1822"/>
      <c r="DD764" s="1822"/>
      <c r="DE764" s="1822"/>
      <c r="DF764" s="1822"/>
      <c r="DG764" s="1822"/>
      <c r="DH764" s="1822"/>
      <c r="DI764" s="1822"/>
      <c r="DJ764" s="1822"/>
      <c r="DK764" s="1822"/>
      <c r="DL764" s="1822"/>
      <c r="DM764" s="1822"/>
      <c r="DN764" s="1822"/>
      <c r="DO764" s="1822"/>
      <c r="DP764" s="1822"/>
      <c r="DQ764" s="1822"/>
      <c r="DR764" s="1822"/>
      <c r="DS764" s="1822"/>
      <c r="DT764" s="1822"/>
      <c r="DU764" s="1822"/>
      <c r="DV764" s="1822"/>
      <c r="DW764" s="1822"/>
      <c r="DX764" s="1822"/>
      <c r="DY764" s="1822"/>
      <c r="DZ764" s="1822"/>
      <c r="EA764" s="1822"/>
      <c r="EB764" s="1822"/>
      <c r="EC764" s="1822"/>
      <c r="ED764" s="1822"/>
      <c r="EE764" s="1822"/>
      <c r="EF764" s="1822"/>
      <c r="EG764" s="1822"/>
      <c r="EH764" s="1822"/>
      <c r="EI764" s="1822"/>
      <c r="EJ764" s="1822"/>
      <c r="EK764" s="1822"/>
      <c r="EL764" s="1822"/>
      <c r="EM764" s="1822"/>
      <c r="EN764" s="1822"/>
      <c r="EO764" s="1822"/>
      <c r="EP764" s="1822"/>
      <c r="EQ764" s="1822"/>
      <c r="ER764" s="1822"/>
      <c r="ES764" s="1822"/>
      <c r="ET764" s="1822"/>
      <c r="EU764" s="1822"/>
      <c r="EV764" s="1822"/>
      <c r="EW764" s="1828"/>
      <c r="EX764" s="1828"/>
      <c r="EY764" s="1828"/>
      <c r="EZ764" s="1828"/>
      <c r="FA764" s="1828"/>
      <c r="FB764" s="1828"/>
      <c r="FC764" s="1828"/>
      <c r="FD764" s="1828"/>
      <c r="FE764" s="1828"/>
      <c r="FF764" s="1828"/>
      <c r="FG764" s="1828"/>
      <c r="FH764" s="1828"/>
      <c r="FI764" s="1828"/>
      <c r="FJ764" s="1828"/>
      <c r="FK764" s="1828"/>
      <c r="FL764" s="1828"/>
      <c r="FM764" s="1828"/>
      <c r="FN764" s="1828"/>
      <c r="FO764" s="1828"/>
      <c r="FP764" s="1828"/>
      <c r="FQ764" s="1828"/>
      <c r="FR764" s="1828"/>
      <c r="FS764" s="1828"/>
      <c r="FT764" s="1828"/>
      <c r="FU764" s="1828"/>
      <c r="FV764" s="1824"/>
      <c r="FW764" s="1824"/>
      <c r="FX764" s="1824"/>
      <c r="FY764" s="1824"/>
      <c r="FZ764" s="1824"/>
      <c r="GA764" s="1824"/>
      <c r="GB764" s="1824"/>
      <c r="GC764" s="1824"/>
      <c r="GD764" s="1824"/>
      <c r="GE764" s="1824"/>
      <c r="GF764" s="1824"/>
      <c r="GG764" s="1824"/>
      <c r="GH764" s="1824"/>
      <c r="GI764" s="1824"/>
      <c r="GJ764" s="1824"/>
      <c r="GK764" s="1824"/>
      <c r="GL764" s="1824"/>
      <c r="GM764" s="1824"/>
      <c r="GN764" s="1824"/>
      <c r="GO764" s="1824"/>
      <c r="GP764" s="1824"/>
      <c r="GQ764" s="1824"/>
      <c r="GR764" s="1824"/>
      <c r="GS764" s="1824"/>
      <c r="GT764" s="1824"/>
      <c r="GU764" s="1824"/>
      <c r="GV764" s="1824"/>
      <c r="GW764" s="1824"/>
      <c r="GX764" s="1824"/>
      <c r="GY764" s="1824"/>
      <c r="GZ764" s="1824"/>
      <c r="HA764" s="1824"/>
      <c r="HB764" s="1824"/>
      <c r="HC764" s="1824"/>
      <c r="HD764" s="1824"/>
      <c r="HE764" s="1824"/>
      <c r="HF764" s="1824"/>
      <c r="HG764" s="1824"/>
      <c r="HH764" s="1824"/>
      <c r="HI764" s="1824"/>
      <c r="HJ764" s="1824"/>
      <c r="HK764" s="1824"/>
      <c r="HL764" s="1824"/>
      <c r="HM764" s="1824"/>
      <c r="HN764" s="1824"/>
      <c r="HO764" s="1824"/>
      <c r="HP764" s="1824"/>
      <c r="HQ764" s="1824"/>
      <c r="HR764" s="1824"/>
      <c r="HS764" s="1824"/>
      <c r="HT764" s="1824"/>
      <c r="HU764" s="1824"/>
      <c r="HV764" s="1824"/>
      <c r="HW764" s="1824"/>
      <c r="HX764" s="1824"/>
      <c r="HY764" s="1824"/>
      <c r="HZ764" s="1824"/>
      <c r="IA764" s="1824"/>
      <c r="IB764" s="1824"/>
      <c r="IC764" s="1824"/>
      <c r="ID764" s="1822"/>
      <c r="IE764" s="1822"/>
      <c r="IF764" s="1822"/>
      <c r="IG764" s="1822"/>
      <c r="IH764" s="1822"/>
      <c r="II764" s="1822"/>
      <c r="IJ764" s="1822"/>
      <c r="IK764" s="1822"/>
      <c r="IL764" s="1822"/>
      <c r="IM764" s="1822"/>
      <c r="IN764" s="1822"/>
      <c r="IO764" s="1822"/>
      <c r="IP764" s="1822"/>
      <c r="IQ764" s="1822"/>
      <c r="IR764" s="1822"/>
      <c r="IS764" s="1822"/>
      <c r="IT764" s="1822"/>
      <c r="IU764" s="1822"/>
      <c r="IV764" s="1822"/>
      <c r="IW764" s="1822"/>
      <c r="IX764" s="1822"/>
      <c r="IY764" s="1822"/>
      <c r="IZ764" s="1822"/>
      <c r="JA764" s="1822"/>
      <c r="JB764" s="1822"/>
      <c r="JC764" s="1822"/>
      <c r="JD764" s="1822"/>
      <c r="JE764" s="1822"/>
      <c r="JF764" s="1822"/>
      <c r="JG764" s="1822"/>
      <c r="JH764" s="1834"/>
      <c r="JI764" s="1834"/>
      <c r="JJ764" s="1834"/>
      <c r="JK764" s="1834"/>
      <c r="JL764" s="1834"/>
      <c r="JM764" s="1822"/>
      <c r="JN764" s="1822"/>
      <c r="JO764" s="1822"/>
      <c r="JP764" s="1822"/>
      <c r="JQ764" s="1822"/>
    </row>
    <row r="765" spans="1:277" s="1330" customFormat="1" ht="11.25" customHeight="1">
      <c r="A765" s="1835"/>
      <c r="B765" s="1843" t="s">
        <v>1490</v>
      </c>
      <c r="C765" s="1836" t="s">
        <v>173</v>
      </c>
      <c r="D765" s="1836" t="s">
        <v>550</v>
      </c>
      <c r="E765" s="1836" t="s">
        <v>1488</v>
      </c>
      <c r="F765" s="1836" t="s">
        <v>1488</v>
      </c>
      <c r="G765" s="1836" t="s">
        <v>1490</v>
      </c>
      <c r="H765" s="1836" t="s">
        <v>3692</v>
      </c>
      <c r="I765" s="1792"/>
      <c r="J765" s="1836" t="s">
        <v>4778</v>
      </c>
      <c r="K765" s="1844" t="s">
        <v>146</v>
      </c>
      <c r="L765" s="1844"/>
      <c r="M765" s="1836" t="s">
        <v>2383</v>
      </c>
      <c r="N765" s="1836" t="s">
        <v>537</v>
      </c>
      <c r="O765" s="1836" t="s">
        <v>385</v>
      </c>
      <c r="P765" s="1832"/>
      <c r="Q765" s="1844" t="s">
        <v>3597</v>
      </c>
      <c r="R765" s="1844"/>
      <c r="S765" s="1836" t="s">
        <v>2711</v>
      </c>
      <c r="T765" s="1836" t="s">
        <v>2713</v>
      </c>
      <c r="U765" s="1836"/>
      <c r="W765" s="1752"/>
      <c r="X765" s="1752"/>
      <c r="Y765" s="1752"/>
      <c r="Z765" s="1752"/>
      <c r="AA765" s="1752"/>
      <c r="AB765" s="1752"/>
      <c r="AC765" s="1752"/>
      <c r="AD765" s="1752"/>
      <c r="AE765" s="1752"/>
      <c r="AF765" s="1752"/>
      <c r="AG765" s="1752"/>
      <c r="AH765" s="1752"/>
      <c r="AI765" s="1752"/>
      <c r="AJ765" s="1752"/>
      <c r="AK765" s="1752"/>
      <c r="AL765" s="1752"/>
      <c r="AM765" s="1752"/>
      <c r="AN765" s="1752"/>
      <c r="AO765" s="1752"/>
      <c r="AP765" s="1752"/>
      <c r="AQ765" s="1752"/>
      <c r="AR765" s="1752"/>
      <c r="AS765" s="1752"/>
      <c r="AT765" s="1752"/>
      <c r="AU765" s="1752"/>
      <c r="AV765" s="1752"/>
      <c r="AW765" s="1752"/>
      <c r="AX765" s="1752"/>
      <c r="AY765" s="1752"/>
      <c r="AZ765" s="1752"/>
      <c r="BA765" s="1752"/>
      <c r="BB765" s="1752"/>
      <c r="BC765" s="1752"/>
      <c r="BD765" s="1752"/>
      <c r="BE765" s="1752"/>
      <c r="BF765" s="1752"/>
      <c r="BG765" s="1752"/>
      <c r="BH765" s="1752"/>
      <c r="BI765" s="1752"/>
      <c r="BJ765" s="1752"/>
      <c r="BK765" s="1752"/>
      <c r="BL765" s="1752"/>
      <c r="BM765" s="1752"/>
      <c r="BN765" s="1752"/>
      <c r="BO765" s="1752"/>
      <c r="BP765" s="1752"/>
      <c r="BQ765" s="1752"/>
      <c r="BR765" s="1752"/>
      <c r="BS765" s="1752"/>
      <c r="BT765" s="1752"/>
      <c r="BU765" s="1752"/>
      <c r="BV765" s="1752"/>
      <c r="BW765" s="1752"/>
      <c r="BX765" s="1752"/>
      <c r="BY765" s="1752"/>
      <c r="BZ765" s="1752"/>
      <c r="CA765" s="1752"/>
      <c r="CB765" s="1752"/>
      <c r="CC765" s="1752"/>
      <c r="CD765" s="1752"/>
      <c r="CE765" s="1822"/>
      <c r="CF765" s="1822"/>
      <c r="CG765" s="1822"/>
      <c r="CH765" s="1822"/>
      <c r="CI765" s="1822"/>
      <c r="CJ765" s="1822"/>
      <c r="CK765" s="1822"/>
      <c r="CL765" s="1822"/>
      <c r="CM765" s="1822"/>
      <c r="CN765" s="1822"/>
      <c r="CO765" s="1822"/>
      <c r="CP765" s="1822"/>
      <c r="CQ765" s="1822"/>
      <c r="CR765" s="1822"/>
      <c r="CS765" s="1822"/>
      <c r="CT765" s="1822"/>
      <c r="CU765" s="1822"/>
      <c r="CV765" s="1822"/>
      <c r="CW765" s="1822"/>
      <c r="CX765" s="1822"/>
      <c r="CY765" s="1822"/>
      <c r="CZ765" s="1822"/>
      <c r="DA765" s="1822"/>
      <c r="DB765" s="1822"/>
      <c r="DC765" s="1822"/>
      <c r="DD765" s="1822"/>
      <c r="DE765" s="1822"/>
      <c r="DF765" s="1822"/>
      <c r="DG765" s="1822"/>
      <c r="DH765" s="1822"/>
      <c r="DI765" s="1822"/>
      <c r="DJ765" s="1822"/>
      <c r="DK765" s="1822"/>
      <c r="DL765" s="1822"/>
      <c r="DM765" s="1822"/>
      <c r="DN765" s="1822"/>
      <c r="DO765" s="1822"/>
      <c r="DP765" s="1822"/>
      <c r="DQ765" s="1822"/>
      <c r="DR765" s="1822"/>
      <c r="DS765" s="1822"/>
      <c r="DT765" s="1822"/>
      <c r="DU765" s="1822"/>
      <c r="DV765" s="1822"/>
      <c r="DW765" s="1822"/>
      <c r="DX765" s="1822"/>
      <c r="DY765" s="1822"/>
      <c r="DZ765" s="1822"/>
      <c r="EA765" s="1822"/>
      <c r="EB765" s="1822"/>
      <c r="EC765" s="1822"/>
      <c r="ED765" s="1822"/>
      <c r="EE765" s="1822"/>
      <c r="EF765" s="1822"/>
      <c r="EG765" s="1822"/>
      <c r="EH765" s="1822"/>
      <c r="EI765" s="1822"/>
      <c r="EJ765" s="1822"/>
      <c r="EK765" s="1822"/>
      <c r="EL765" s="1822"/>
      <c r="EM765" s="1822"/>
      <c r="EN765" s="1822"/>
      <c r="EO765" s="1822"/>
      <c r="EP765" s="1822"/>
      <c r="EQ765" s="1822"/>
      <c r="ER765" s="1822"/>
      <c r="ES765" s="1822"/>
      <c r="ET765" s="1822"/>
      <c r="EU765" s="1822"/>
      <c r="EV765" s="1822"/>
      <c r="EW765" s="1822" t="s">
        <v>1474</v>
      </c>
      <c r="EX765" s="1824" t="s">
        <v>2456</v>
      </c>
      <c r="EY765" s="1824" t="s">
        <v>2457</v>
      </c>
      <c r="EZ765" s="1824" t="s">
        <v>2458</v>
      </c>
      <c r="FA765" s="1824" t="s">
        <v>2459</v>
      </c>
      <c r="FB765" s="1822" t="s">
        <v>2513</v>
      </c>
      <c r="FC765" s="1822" t="s">
        <v>2513</v>
      </c>
      <c r="FD765" s="1822" t="s">
        <v>2513</v>
      </c>
      <c r="FE765" s="1822" t="s">
        <v>2513</v>
      </c>
      <c r="FF765" s="1822" t="s">
        <v>2513</v>
      </c>
      <c r="FG765" s="1822" t="s">
        <v>3387</v>
      </c>
      <c r="FH765" s="1822" t="s">
        <v>3387</v>
      </c>
      <c r="FI765" s="1822" t="s">
        <v>3387</v>
      </c>
      <c r="FJ765" s="1822" t="s">
        <v>3387</v>
      </c>
      <c r="FK765" s="1822" t="s">
        <v>3387</v>
      </c>
      <c r="FL765" s="1824" t="s">
        <v>573</v>
      </c>
      <c r="FM765" s="1824" t="s">
        <v>2456</v>
      </c>
      <c r="FN765" s="1824" t="s">
        <v>2457</v>
      </c>
      <c r="FO765" s="1824" t="s">
        <v>2458</v>
      </c>
      <c r="FP765" s="1824" t="s">
        <v>2459</v>
      </c>
      <c r="FQ765" s="1824" t="s">
        <v>573</v>
      </c>
      <c r="FR765" s="1824" t="s">
        <v>2456</v>
      </c>
      <c r="FS765" s="1824" t="s">
        <v>2457</v>
      </c>
      <c r="FT765" s="1824" t="s">
        <v>2458</v>
      </c>
      <c r="FU765" s="1824" t="s">
        <v>2459</v>
      </c>
      <c r="FV765" s="1822" t="s">
        <v>2515</v>
      </c>
      <c r="FW765" s="1822" t="s">
        <v>2515</v>
      </c>
      <c r="FX765" s="1822" t="s">
        <v>2515</v>
      </c>
      <c r="FY765" s="1822" t="s">
        <v>2515</v>
      </c>
      <c r="FZ765" s="1822" t="s">
        <v>2515</v>
      </c>
      <c r="GA765" s="1822" t="s">
        <v>3383</v>
      </c>
      <c r="GB765" s="1822" t="s">
        <v>3383</v>
      </c>
      <c r="GC765" s="1822" t="s">
        <v>3383</v>
      </c>
      <c r="GD765" s="1822" t="s">
        <v>3383</v>
      </c>
      <c r="GE765" s="1822" t="s">
        <v>3383</v>
      </c>
      <c r="GF765" s="1822" t="s">
        <v>360</v>
      </c>
      <c r="GG765" s="1822" t="s">
        <v>360</v>
      </c>
      <c r="GH765" s="1822" t="s">
        <v>360</v>
      </c>
      <c r="GI765" s="1822" t="s">
        <v>360</v>
      </c>
      <c r="GJ765" s="1822" t="s">
        <v>360</v>
      </c>
      <c r="GK765" s="1822" t="s">
        <v>3382</v>
      </c>
      <c r="GL765" s="1822" t="s">
        <v>3382</v>
      </c>
      <c r="GM765" s="1822" t="s">
        <v>3382</v>
      </c>
      <c r="GN765" s="1822" t="s">
        <v>3382</v>
      </c>
      <c r="GO765" s="1822" t="s">
        <v>3382</v>
      </c>
      <c r="GP765" s="1822" t="s">
        <v>361</v>
      </c>
      <c r="GQ765" s="1822" t="s">
        <v>361</v>
      </c>
      <c r="GR765" s="1822" t="s">
        <v>361</v>
      </c>
      <c r="GS765" s="1822" t="s">
        <v>361</v>
      </c>
      <c r="GT765" s="1822" t="s">
        <v>361</v>
      </c>
      <c r="GU765" s="1822" t="s">
        <v>3381</v>
      </c>
      <c r="GV765" s="1822" t="s">
        <v>3381</v>
      </c>
      <c r="GW765" s="1822" t="s">
        <v>3381</v>
      </c>
      <c r="GX765" s="1822" t="s">
        <v>3381</v>
      </c>
      <c r="GY765" s="1822" t="s">
        <v>3381</v>
      </c>
      <c r="GZ765" s="1822" t="s">
        <v>362</v>
      </c>
      <c r="HA765" s="1822" t="s">
        <v>362</v>
      </c>
      <c r="HB765" s="1822" t="s">
        <v>362</v>
      </c>
      <c r="HC765" s="1822" t="s">
        <v>362</v>
      </c>
      <c r="HD765" s="1822" t="s">
        <v>362</v>
      </c>
      <c r="HE765" s="1822" t="s">
        <v>3384</v>
      </c>
      <c r="HF765" s="1822" t="s">
        <v>3384</v>
      </c>
      <c r="HG765" s="1822" t="s">
        <v>3384</v>
      </c>
      <c r="HH765" s="1822" t="s">
        <v>3384</v>
      </c>
      <c r="HI765" s="1822" t="s">
        <v>3384</v>
      </c>
      <c r="HJ765" s="1822" t="s">
        <v>363</v>
      </c>
      <c r="HK765" s="1822" t="s">
        <v>363</v>
      </c>
      <c r="HL765" s="1822" t="s">
        <v>363</v>
      </c>
      <c r="HM765" s="1822" t="s">
        <v>363</v>
      </c>
      <c r="HN765" s="1822" t="s">
        <v>363</v>
      </c>
      <c r="HO765" s="1822" t="s">
        <v>3385</v>
      </c>
      <c r="HP765" s="1822" t="s">
        <v>3385</v>
      </c>
      <c r="HQ765" s="1822" t="s">
        <v>3385</v>
      </c>
      <c r="HR765" s="1822" t="s">
        <v>3385</v>
      </c>
      <c r="HS765" s="1822" t="s">
        <v>3385</v>
      </c>
      <c r="HT765" s="1822" t="s">
        <v>1473</v>
      </c>
      <c r="HU765" s="1822" t="s">
        <v>1473</v>
      </c>
      <c r="HV765" s="1822" t="s">
        <v>1473</v>
      </c>
      <c r="HW765" s="1822" t="s">
        <v>1473</v>
      </c>
      <c r="HX765" s="1822" t="s">
        <v>1473</v>
      </c>
      <c r="HY765" s="1822" t="s">
        <v>3386</v>
      </c>
      <c r="HZ765" s="1822" t="s">
        <v>3386</v>
      </c>
      <c r="IA765" s="1822" t="s">
        <v>3386</v>
      </c>
      <c r="IB765" s="1822" t="s">
        <v>3386</v>
      </c>
      <c r="IC765" s="1822" t="s">
        <v>3386</v>
      </c>
      <c r="ID765" s="1822"/>
      <c r="IE765" s="1822"/>
      <c r="IF765" s="1822"/>
      <c r="IG765" s="1822"/>
      <c r="IH765" s="1822"/>
      <c r="II765" s="1822"/>
      <c r="IJ765" s="1822"/>
      <c r="IK765" s="1822"/>
      <c r="IL765" s="1822"/>
      <c r="IM765" s="1822"/>
      <c r="IN765" s="1822"/>
      <c r="IO765" s="1822"/>
      <c r="IP765" s="1822"/>
      <c r="IQ765" s="1822"/>
      <c r="IR765" s="1822"/>
      <c r="IS765" s="1822"/>
      <c r="IT765" s="1822"/>
      <c r="IU765" s="1822"/>
      <c r="IV765" s="1822"/>
      <c r="IW765" s="1822"/>
      <c r="IX765" s="1822"/>
      <c r="IY765" s="1822"/>
      <c r="IZ765" s="1822"/>
      <c r="JA765" s="1822"/>
      <c r="JB765" s="1822"/>
      <c r="JC765" s="1822"/>
      <c r="JD765" s="1822"/>
      <c r="JE765" s="1822"/>
      <c r="JF765" s="1822"/>
      <c r="JG765" s="1822"/>
      <c r="JH765" s="1834"/>
      <c r="JI765" s="1834"/>
      <c r="JJ765" s="1834"/>
      <c r="JK765" s="1834"/>
      <c r="JL765" s="1834"/>
      <c r="JM765" s="1822"/>
      <c r="JN765" s="1822"/>
      <c r="JO765" s="1822"/>
      <c r="JP765" s="1822"/>
      <c r="JQ765" s="1822"/>
    </row>
    <row r="766" spans="1:277" s="1330" customFormat="1" ht="11.25" customHeight="1">
      <c r="A766" s="1835"/>
      <c r="B766" s="1843" t="s">
        <v>1308</v>
      </c>
      <c r="C766" s="1836" t="s">
        <v>172</v>
      </c>
      <c r="D766" s="1836" t="s">
        <v>174</v>
      </c>
      <c r="E766" s="1836" t="s">
        <v>1489</v>
      </c>
      <c r="F766" s="1836" t="s">
        <v>1291</v>
      </c>
      <c r="G766" s="1836" t="s">
        <v>3693</v>
      </c>
      <c r="H766" s="1836" t="s">
        <v>1490</v>
      </c>
      <c r="I766" s="1792"/>
      <c r="J766" s="1845" t="s">
        <v>352</v>
      </c>
      <c r="K766" s="1836" t="s">
        <v>1542</v>
      </c>
      <c r="L766" s="1836" t="s">
        <v>544</v>
      </c>
      <c r="M766" s="1836" t="s">
        <v>1488</v>
      </c>
      <c r="N766" s="1836" t="s">
        <v>3336</v>
      </c>
      <c r="O766" s="1836" t="s">
        <v>386</v>
      </c>
      <c r="P766" s="1832"/>
      <c r="Q766" s="1836" t="s">
        <v>3598</v>
      </c>
      <c r="R766" s="1836" t="s">
        <v>1050</v>
      </c>
      <c r="S766" s="1836" t="s">
        <v>1490</v>
      </c>
      <c r="T766" s="1836" t="s">
        <v>2714</v>
      </c>
      <c r="U766" s="1825" t="s">
        <v>1859</v>
      </c>
      <c r="V766" s="1825"/>
      <c r="W766" s="1752"/>
      <c r="X766" s="1752"/>
      <c r="Y766" s="1752"/>
      <c r="Z766" s="1752"/>
      <c r="AA766" s="1752"/>
      <c r="AB766" s="1752"/>
      <c r="AC766" s="1752"/>
      <c r="AD766" s="1752"/>
      <c r="AE766" s="1752"/>
      <c r="AF766" s="1752"/>
      <c r="AG766" s="1752"/>
      <c r="AH766" s="1752"/>
      <c r="AI766" s="1752"/>
      <c r="AJ766" s="1752"/>
      <c r="AK766" s="1752"/>
      <c r="AL766" s="1752"/>
      <c r="AM766" s="1752"/>
      <c r="AN766" s="1752"/>
      <c r="AO766" s="1752"/>
      <c r="AP766" s="1752"/>
      <c r="AQ766" s="1752"/>
      <c r="AR766" s="1752"/>
      <c r="AS766" s="1752"/>
      <c r="AT766" s="1752"/>
      <c r="AU766" s="1752"/>
      <c r="AV766" s="1752"/>
      <c r="AW766" s="1752"/>
      <c r="AX766" s="1752"/>
      <c r="AY766" s="1752"/>
      <c r="AZ766" s="1752"/>
      <c r="BA766" s="1752"/>
      <c r="BB766" s="1752"/>
      <c r="BC766" s="1752"/>
      <c r="BD766" s="1752"/>
      <c r="BE766" s="1752"/>
      <c r="BF766" s="1752"/>
      <c r="BG766" s="1752"/>
      <c r="BH766" s="1752"/>
      <c r="BI766" s="1752"/>
      <c r="BJ766" s="1752"/>
      <c r="BK766" s="1752"/>
      <c r="BL766" s="1752"/>
      <c r="BM766" s="1752"/>
      <c r="BN766" s="1752"/>
      <c r="BO766" s="1752"/>
      <c r="BP766" s="1752"/>
      <c r="BQ766" s="1752"/>
      <c r="BR766" s="1752"/>
      <c r="BS766" s="1752"/>
      <c r="BT766" s="1752"/>
      <c r="BU766" s="1752"/>
      <c r="BV766" s="1752"/>
      <c r="BW766" s="1752"/>
      <c r="BX766" s="1752"/>
      <c r="BY766" s="1752"/>
      <c r="BZ766" s="1752"/>
      <c r="CA766" s="1752"/>
      <c r="CB766" s="1752"/>
      <c r="CC766" s="1752"/>
      <c r="CD766" s="1752"/>
      <c r="CE766" s="1822"/>
      <c r="CF766" s="1822"/>
      <c r="CG766" s="1822"/>
      <c r="CH766" s="1822"/>
      <c r="CI766" s="1822"/>
      <c r="CJ766" s="1822"/>
      <c r="CK766" s="1822"/>
      <c r="CL766" s="1822"/>
      <c r="CM766" s="1822"/>
      <c r="CN766" s="1822"/>
      <c r="CO766" s="1822"/>
      <c r="CP766" s="1822"/>
      <c r="CQ766" s="1822"/>
      <c r="CR766" s="1822"/>
      <c r="CS766" s="1822"/>
      <c r="CT766" s="1822"/>
      <c r="CU766" s="1822"/>
      <c r="CV766" s="1822"/>
      <c r="CW766" s="1822"/>
      <c r="CX766" s="1822"/>
      <c r="CY766" s="1822"/>
      <c r="CZ766" s="1822"/>
      <c r="DA766" s="1822"/>
      <c r="DB766" s="1822"/>
      <c r="DC766" s="1822"/>
      <c r="DD766" s="1822"/>
      <c r="DE766" s="1822"/>
      <c r="DF766" s="1822"/>
      <c r="DG766" s="1822"/>
      <c r="DH766" s="1822"/>
      <c r="DI766" s="1822"/>
      <c r="DJ766" s="1822"/>
      <c r="DK766" s="1822"/>
      <c r="DL766" s="1822"/>
      <c r="DM766" s="1822"/>
      <c r="DN766" s="1822"/>
      <c r="DO766" s="1822"/>
      <c r="DP766" s="1822"/>
      <c r="DQ766" s="1822"/>
      <c r="DR766" s="1822"/>
      <c r="DS766" s="1822"/>
      <c r="DT766" s="1822"/>
      <c r="DU766" s="1822"/>
      <c r="DV766" s="1822"/>
      <c r="DW766" s="1822"/>
      <c r="DX766" s="1822"/>
      <c r="DY766" s="1822"/>
      <c r="DZ766" s="1822"/>
      <c r="EA766" s="1822"/>
      <c r="EB766" s="1822"/>
      <c r="EC766" s="1822"/>
      <c r="ED766" s="1822"/>
      <c r="EE766" s="1822"/>
      <c r="EF766" s="1822"/>
      <c r="EG766" s="1822"/>
      <c r="EH766" s="1822"/>
      <c r="EI766" s="1822"/>
      <c r="EJ766" s="1822"/>
      <c r="EK766" s="1822"/>
      <c r="EL766" s="1822"/>
      <c r="EM766" s="1822"/>
      <c r="EN766" s="1822"/>
      <c r="EO766" s="1822"/>
      <c r="EP766" s="1822"/>
      <c r="EQ766" s="1822"/>
      <c r="ER766" s="1822"/>
      <c r="ES766" s="1822"/>
      <c r="ET766" s="1822"/>
      <c r="EU766" s="1822"/>
      <c r="EV766" s="1822"/>
      <c r="EW766" s="1822"/>
      <c r="EX766" s="1824" t="s">
        <v>2512</v>
      </c>
      <c r="EY766" s="1824" t="s">
        <v>2512</v>
      </c>
      <c r="EZ766" s="1824" t="s">
        <v>2512</v>
      </c>
      <c r="FA766" s="1824" t="s">
        <v>2512</v>
      </c>
      <c r="FB766" s="1822"/>
      <c r="FC766" s="1822"/>
      <c r="FD766" s="1822"/>
      <c r="FE766" s="1822"/>
      <c r="FF766" s="1822"/>
      <c r="FG766" s="1822"/>
      <c r="FH766" s="1822"/>
      <c r="FI766" s="1822"/>
      <c r="FJ766" s="1822"/>
      <c r="FK766" s="1822"/>
      <c r="FL766" s="1824" t="s">
        <v>2514</v>
      </c>
      <c r="FM766" s="1824" t="s">
        <v>2514</v>
      </c>
      <c r="FN766" s="1824" t="s">
        <v>2514</v>
      </c>
      <c r="FO766" s="1824" t="s">
        <v>2514</v>
      </c>
      <c r="FP766" s="1824" t="s">
        <v>2514</v>
      </c>
      <c r="FQ766" s="1824" t="s">
        <v>3388</v>
      </c>
      <c r="FR766" s="1824" t="s">
        <v>3388</v>
      </c>
      <c r="FS766" s="1824" t="s">
        <v>3388</v>
      </c>
      <c r="FT766" s="1824" t="s">
        <v>3388</v>
      </c>
      <c r="FU766" s="1824" t="s">
        <v>3388</v>
      </c>
      <c r="FV766" s="1822"/>
      <c r="FW766" s="1822"/>
      <c r="FX766" s="1822"/>
      <c r="FY766" s="1822"/>
      <c r="FZ766" s="1822"/>
      <c r="GA766" s="1822"/>
      <c r="GB766" s="1822"/>
      <c r="GC766" s="1822"/>
      <c r="GD766" s="1822"/>
      <c r="GE766" s="1822"/>
      <c r="GF766" s="1822"/>
      <c r="GG766" s="1822"/>
      <c r="GH766" s="1822"/>
      <c r="GI766" s="1822"/>
      <c r="GJ766" s="1822"/>
      <c r="GK766" s="1822"/>
      <c r="GL766" s="1822"/>
      <c r="GM766" s="1822"/>
      <c r="GN766" s="1822"/>
      <c r="GO766" s="1822"/>
      <c r="GP766" s="1822"/>
      <c r="GQ766" s="1822"/>
      <c r="GR766" s="1822"/>
      <c r="GS766" s="1822"/>
      <c r="GT766" s="1822"/>
      <c r="GU766" s="1822"/>
      <c r="GV766" s="1822"/>
      <c r="GW766" s="1822"/>
      <c r="GX766" s="1822"/>
      <c r="GY766" s="1822"/>
      <c r="GZ766" s="1822"/>
      <c r="HA766" s="1822"/>
      <c r="HB766" s="1822"/>
      <c r="HC766" s="1822"/>
      <c r="HD766" s="1822"/>
      <c r="HE766" s="1822"/>
      <c r="HF766" s="1822"/>
      <c r="HG766" s="1822"/>
      <c r="HH766" s="1822"/>
      <c r="HI766" s="1822"/>
      <c r="HJ766" s="1822"/>
      <c r="HK766" s="1822"/>
      <c r="HL766" s="1822"/>
      <c r="HM766" s="1822"/>
      <c r="HN766" s="1822"/>
      <c r="HO766" s="1822"/>
      <c r="HP766" s="1822"/>
      <c r="HQ766" s="1822"/>
      <c r="HR766" s="1822"/>
      <c r="HS766" s="1822"/>
      <c r="HT766" s="1822"/>
      <c r="HU766" s="1822"/>
      <c r="HV766" s="1822"/>
      <c r="HW766" s="1822"/>
      <c r="HX766" s="1822"/>
      <c r="HY766" s="1822"/>
      <c r="HZ766" s="1822"/>
      <c r="IA766" s="1822"/>
      <c r="IB766" s="1822"/>
      <c r="IC766" s="1822"/>
      <c r="ID766" s="1822"/>
      <c r="IE766" s="1822"/>
      <c r="IF766" s="1822"/>
      <c r="IG766" s="1822"/>
      <c r="IH766" s="1822"/>
      <c r="II766" s="1822"/>
      <c r="IJ766" s="1822"/>
      <c r="IK766" s="1822"/>
      <c r="IL766" s="1822"/>
      <c r="IM766" s="1822"/>
      <c r="IN766" s="1822"/>
      <c r="IO766" s="1822"/>
      <c r="IP766" s="1822"/>
      <c r="IQ766" s="1822"/>
      <c r="IR766" s="1822"/>
      <c r="IS766" s="1822"/>
      <c r="IT766" s="1822"/>
      <c r="IU766" s="1822"/>
      <c r="IV766" s="1822"/>
      <c r="IW766" s="1822"/>
      <c r="IX766" s="1822"/>
      <c r="IY766" s="1822"/>
      <c r="IZ766" s="1822"/>
      <c r="JA766" s="1822"/>
      <c r="JB766" s="1822"/>
      <c r="JC766" s="1822"/>
      <c r="JD766" s="1822"/>
      <c r="JE766" s="1822"/>
      <c r="JF766" s="1822"/>
      <c r="JG766" s="1822"/>
      <c r="JH766" s="1834"/>
      <c r="JI766" s="1834"/>
      <c r="JJ766" s="1834"/>
      <c r="JK766" s="1834"/>
      <c r="JL766" s="1834"/>
      <c r="JM766" s="1822"/>
      <c r="JN766" s="1822"/>
      <c r="JO766" s="1822"/>
      <c r="JP766" s="1822"/>
      <c r="JQ766" s="1822"/>
    </row>
    <row r="767" spans="1:277" ht="12" customHeight="1">
      <c r="A767" s="1837" t="str">
        <f t="shared" ref="A767:A804" si="1">IF(AND(E767&gt;0,OR(B767="",C767="",D767="",F767="",G767="", H767="",M767="",N767="",O767="",P767="")),1,"")</f>
        <v/>
      </c>
      <c r="B767" s="1846" t="str">
        <f>'Part VI-Revenues &amp; Expenses'!B10</f>
        <v>60% AMI</v>
      </c>
      <c r="C767" s="1847">
        <f>'Part VI-Revenues &amp; Expenses'!C10</f>
        <v>2</v>
      </c>
      <c r="D767" s="1848">
        <f>'Part VI-Revenues &amp; Expenses'!D10</f>
        <v>2.5</v>
      </c>
      <c r="E767" s="1849">
        <f>'Part VI-Revenues &amp; Expenses'!E10</f>
        <v>14</v>
      </c>
      <c r="F767" s="1849">
        <f>'Part VI-Revenues &amp; Expenses'!F10</f>
        <v>1250</v>
      </c>
      <c r="G767" s="1849">
        <f>'Part VI-Revenues &amp; Expenses'!G10</f>
        <v>670</v>
      </c>
      <c r="H767" s="1849">
        <f>'Part VI-Revenues &amp; Expenses'!H10</f>
        <v>670</v>
      </c>
      <c r="I767" s="1849">
        <f>'Part VI-Revenues &amp; Expenses'!I10</f>
        <v>147</v>
      </c>
      <c r="J767" s="1850">
        <f>'Part VI-Revenues &amp; Expenses'!J10</f>
        <v>0</v>
      </c>
      <c r="K767" s="1851">
        <f t="shared" ref="K767:K804" si="2">MAX(0,H767-I767)</f>
        <v>523</v>
      </c>
      <c r="L767" s="1851">
        <f t="shared" ref="L767:L804" si="3">MAX(0,E767*K767)</f>
        <v>7322</v>
      </c>
      <c r="M767" s="1725" t="str">
        <f>'Part VI-Revenues &amp; Expenses'!M10</f>
        <v>No</v>
      </c>
      <c r="N767" s="1725" t="str">
        <f>'Part VI-Revenues &amp; Expenses'!N10</f>
        <v>Duplex</v>
      </c>
      <c r="O767" s="1725" t="str">
        <f>'Part VI-Revenues &amp; Expenses'!O10</f>
        <v>New Construction</v>
      </c>
      <c r="P767" s="1831" t="str">
        <f>'Part VI-Revenues &amp; Expenses'!P10</f>
        <v>No</v>
      </c>
      <c r="Q767" s="1852">
        <f>'Part VI-Revenues &amp; Expenses'!Q10</f>
        <v>26800</v>
      </c>
      <c r="R767" s="1853">
        <f>'Part VI-Revenues &amp; Expenses'!R10</f>
        <v>0.60035842293906805</v>
      </c>
      <c r="S767" s="1852">
        <f>'Part VI-Revenues &amp; Expenses'!S10</f>
        <v>0</v>
      </c>
      <c r="T767" s="1853">
        <f>'Part VI-Revenues &amp; Expenses'!T10</f>
        <v>0</v>
      </c>
      <c r="U767" s="1775"/>
      <c r="V767" s="1775"/>
      <c r="W767" s="683" t="str">
        <f t="shared" ref="W767:W804" si="4">IF(AND(C767="Efficiency",B767="60% AMI",NOT(M767="Common Space")),E767,"")</f>
        <v/>
      </c>
      <c r="X767" s="683" t="str">
        <f t="shared" ref="X767:X804" si="5">IF(AND(C767=1,B767="60% AMI",NOT(M767="Common Space")),E767,"")</f>
        <v/>
      </c>
      <c r="Y767" s="683">
        <f t="shared" ref="Y767:Y804" si="6">IF(AND(C767=2,B767="60% AMI",NOT(M767="Common Space")),E767,"")</f>
        <v>14</v>
      </c>
      <c r="Z767" s="683" t="str">
        <f t="shared" ref="Z767:Z804" si="7">IF(AND(C767=3,B767="60% AMI",NOT(M767="Common Space")),E767,"")</f>
        <v/>
      </c>
      <c r="AA767" s="683" t="str">
        <f t="shared" ref="AA767:AA804" si="8">IF(AND(C767=4,B767="60% AMI",NOT(M767="Common Space")),E767,"")</f>
        <v/>
      </c>
      <c r="AB767" s="683" t="str">
        <f t="shared" ref="AB767:AB804" si="9">IF(AND(C767="Efficiency",B767="50% AMI",NOT(M767="Common Space")),E767,"")</f>
        <v/>
      </c>
      <c r="AC767" s="683" t="str">
        <f t="shared" ref="AC767:AC804" si="10">IF(AND(C767=1,B767="50% AMI",NOT(M767="Common Space")),E767,"")</f>
        <v/>
      </c>
      <c r="AD767" s="683" t="str">
        <f t="shared" ref="AD767:AD804" si="11">IF(AND(C767=2,B767="50% AMI",NOT(M767="Common Space")),E767,"")</f>
        <v/>
      </c>
      <c r="AE767" s="683" t="str">
        <f t="shared" ref="AE767:AE804" si="12">IF(AND(C767=3,B767="50% AMI",NOT(M767="Common Space")),E767,"")</f>
        <v/>
      </c>
      <c r="AF767" s="683" t="str">
        <f t="shared" ref="AF767:AF804" si="13">IF(AND(C767=4,B767="50% AMI",NOT(M767="Common Space")),E767,"")</f>
        <v/>
      </c>
      <c r="AG767" s="683" t="str">
        <f t="shared" ref="AG767:AG804" si="14">IF(AND(C767="Efficiency",B767="30% AMI",NOT(M767="Common Space")),E767,"")</f>
        <v/>
      </c>
      <c r="AH767" s="683" t="str">
        <f t="shared" ref="AH767:AH804" si="15">IF(AND(C767=1,B767="30% AMI",NOT(M767="Common Space")),E767,"")</f>
        <v/>
      </c>
      <c r="AI767" s="683" t="str">
        <f t="shared" ref="AI767:AI804" si="16">IF(AND(C767=2,B767="30% AMI",NOT(M767="Common Space")),E767,"")</f>
        <v/>
      </c>
      <c r="AJ767" s="683" t="str">
        <f t="shared" ref="AJ767:AJ804" si="17">IF(AND(C767=3,B767="30% AMI",NOT(M767="Common Space")),E767,"")</f>
        <v/>
      </c>
      <c r="AK767" s="683" t="str">
        <f t="shared" ref="AK767:AK804" si="18">IF(AND(C767=4,B767="30% AMI",NOT(M767="Common Space")),E767,"")</f>
        <v/>
      </c>
      <c r="AL767" s="683" t="str">
        <f t="shared" ref="AL767:AL804" si="19">IF(AND(C767="Efficiency",B767="Unrestricted",NOT(M767="Common Space")),E767,"")</f>
        <v/>
      </c>
      <c r="AM767" s="683" t="str">
        <f t="shared" ref="AM767:AM804" si="20">IF(AND(C767=1,B767="Unrestricted",NOT(M767="Common Space")),E767,"")</f>
        <v/>
      </c>
      <c r="AN767" s="683" t="str">
        <f t="shared" ref="AN767:AN804" si="21">IF(AND(C767=2,B767="Unrestricted",NOT(M767="Common Space")),E767,"")</f>
        <v/>
      </c>
      <c r="AO767" s="683" t="str">
        <f t="shared" ref="AO767:AO804" si="22">IF(AND(C767=3,B767="Unrestricted",NOT(M767="Common Space")),E767,"")</f>
        <v/>
      </c>
      <c r="AP767" s="683" t="str">
        <f t="shared" ref="AP767:AP804" si="23">IF(AND(C767=4,B767="Unrestricted",NOT(M767="Common Space")),E767,"")</f>
        <v/>
      </c>
      <c r="AQ767" s="683" t="str">
        <f t="shared" ref="AQ767:AQ804" si="24">IF(OR(AND($C767="Efficiency",NOT($J767=""),NOT($J767="PHA Oper Sub"),$B767="30% AMI",NOT($M767="Common Space")),AND($C767="Efficiency",NOT($J767=""),NOT($J767="PHA Oper Sub"),$B767="HOME 30% AMI",NOT($M767="Common Space"))),$E767,"")</f>
        <v/>
      </c>
      <c r="AR767" s="683" t="str">
        <f t="shared" ref="AR767:AR804" si="25">IF(OR(AND($C767=1,NOT($J767=""),NOT($J767="PHA Oper Sub"),$B767="30% AMI",NOT($M767="Common Space")),AND($C767=1,NOT($J767=""),NOT($J767="PHA Oper Sub"),$B767="HOME 30% AMI",NOT($M767="Common Space"))),$E767,"")</f>
        <v/>
      </c>
      <c r="AS767" s="683" t="str">
        <f t="shared" ref="AS767:AS804" si="26">IF(OR(AND($C767=2,NOT($J767=""),NOT($J767="PHA Oper Sub"),$B767="30% AMI",NOT($M767="Common Space")),AND($C767=2,NOT($J767=""),NOT($J767="PHA Oper Sub"),$B767="HOME 30% AMI",NOT($M767="Common Space"))),$E767,"")</f>
        <v/>
      </c>
      <c r="AT767" s="683" t="str">
        <f t="shared" ref="AT767:AT804" si="27">IF(OR(AND($C767=3,NOT($J767=""),NOT($J767="PHA Oper Sub"),$B767="30% AMI",NOT($M767="Common Space")),AND($C767=3,NOT($J767=""),NOT($J767="PHA Oper Sub"),$B767="HOME 30% AMI",NOT($M767="Common Space"))),$E767,"")</f>
        <v/>
      </c>
      <c r="AU767" s="683" t="str">
        <f t="shared" ref="AU767:AU804" si="28">IF(OR(AND($C767=4,NOT($J767=""),NOT($J767="PHA Oper Sub"),$B767="30% AMI",NOT($M767="Common Space")),AND($C767=4,NOT($J767=""),NOT($J767="PHA Oper Sub"),$B767="HOME 30% AMI",NOT($M767="Common Space"))),$E767,"")</f>
        <v/>
      </c>
      <c r="AV767" s="683" t="str">
        <f t="shared" ref="AV767:AV804" si="29">IF(OR(AND($C767="Efficiency",NOT($J767=""),NOT($J767="PHA Oper Sub"),NOT($J767=0),$B767="50% AMI",NOT($M767="Common Space")),AND($C767="Efficiency",NOT($J767=""),NOT($J767=0),NOT($J767="PHA Oper Sub"),$B767="HOME 50% AMI",NOT($M767="Common Space"))),$E767,"")</f>
        <v/>
      </c>
      <c r="AW767" s="683" t="str">
        <f t="shared" ref="AW767:AW804" si="30">IF(OR(AND($C767=1,NOT($J767=""),NOT($J767=0),NOT($J767="PHA Oper Sub"),$B767="50% AMI",NOT($M767="Common Space")),AND($C767=1,NOT($J767=""),NOT($J767=0),NOT($J767="PHA Oper Sub"),$B767="HOME 50% AMI",NOT($M767="Common Space"))),$E767,"")</f>
        <v/>
      </c>
      <c r="AX767" s="683" t="str">
        <f t="shared" ref="AX767:AX804" si="31">IF(OR(AND($C767=2,NOT($J767=""),NOT($J767=0),NOT($J767="PHA Oper Sub"),$B767="50% AMI",NOT($M767="Common Space")),AND($C767=2,NOT($J767=""),NOT($J767=0),NOT($J767="PHA Oper Sub"),$B767="HOME 50% AMI",NOT($M767="Common Space"))),$E767,"")</f>
        <v/>
      </c>
      <c r="AY767" s="683" t="str">
        <f t="shared" ref="AY767:AY804" si="32">IF(OR(AND($C767=3,NOT($J767=""),NOT($J767=0),NOT($J767="PHA Oper Sub"),$B767="50% AMI",NOT($M767="Common Space")),AND($C767=3,NOT($J767=""),NOT($J767=0),NOT($J767="PHA Oper Sub"),$B767="HOME 50% AMI",NOT($M767="Common Space"))),$E767,"")</f>
        <v/>
      </c>
      <c r="AZ767" s="683" t="str">
        <f t="shared" ref="AZ767:AZ804" si="33">IF(OR(AND($C767=4,NOT($J767=""),NOT($J767=0),NOT($J767="PHA Oper Sub"),$B767="50% AMI",NOT($M767="Common Space")),AND($C767=4,NOT($J767=""),NOT($J767=0),NOT($J767="PHA Oper Sub"),$B767="HOME 50% AMI",NOT($M767="Common Space"))),$E767,"")</f>
        <v/>
      </c>
      <c r="BA767" s="683" t="str">
        <f t="shared" ref="BA767:BA804" si="34">IF(OR(AND($C767="Efficiency",NOT($J767=""),NOT($J767=0),NOT($J767="PHA Oper Sub"),$B767="60% AMI",NOT($M767="Common Space")),AND($C767="Efficiency",NOT($J767=""),NOT($J767=0),NOT($J767="PHA Oper Sub"),$B767="HOME 60% AMI",NOT($M767="Common Space"))),$E767,"")</f>
        <v/>
      </c>
      <c r="BB767" s="683" t="str">
        <f t="shared" ref="BB767:BB804" si="35">IF(OR(AND($C767=1,NOT($J767=""),NOT($J767=0),NOT($J767="PHA Oper Sub"),$B767="60% AMI",NOT($M767="Common Space")),AND($C767=1,NOT($J767=""),NOT($J767=0),NOT($J767="PHA Oper Sub"),$B767="HOME 60% AMI",NOT($M767="Common Space"))),$E767,"")</f>
        <v/>
      </c>
      <c r="BC767" s="683" t="str">
        <f t="shared" ref="BC767:BC804" si="36">IF(OR(AND($C767=2,NOT($J767=""),NOT($J767=0),NOT($J767="PHA Oper Sub"),$B767="60% AMI",NOT($M767="Common Space")),AND($C767=2,NOT($J767=""),NOT($J767=0),NOT($J767="PHA Oper Sub"),$B767="HOME 60% AMI",NOT($M767="Common Space"))),$E767,"")</f>
        <v/>
      </c>
      <c r="BD767" s="683" t="str">
        <f t="shared" ref="BD767:BD804" si="37">IF(OR(AND($C767=3,NOT($J767=""),NOT($J767=0),NOT($J767="PHA Oper Sub"),$B767="60% AMI",NOT($M767="Common Space")),AND($C767=3,NOT($J767=""),NOT($J767=0),NOT($J767="PHA Oper Sub"),$B767="HOME 60% AMI",NOT($M767="Common Space"))),$E767,"")</f>
        <v/>
      </c>
      <c r="BE767" s="683" t="str">
        <f t="shared" ref="BE767:BE804" si="38">IF(OR(AND($C767=4,NOT($J767=""),NOT($J767=0),NOT($J767="PHA Oper Sub"),$B767="60% AMI",NOT($M767="Common Space")),AND($C767=4,NOT($J767=""),NOT($J767=0),NOT($J767="PHA Oper Sub"),$B767="HOME 60% AMI",NOT($M767="Common Space"))),$E767,"")</f>
        <v/>
      </c>
      <c r="BF767" s="683" t="str">
        <f t="shared" ref="BF767:BF804" si="39">IF(OR(AND($C767="Efficiency",$J767="PHA Oper Sub",$B767="30% AMI",NOT($M767="Common Space")),AND($C767="Efficiency",$J767="PHA Oper Sub",$B767="HOME 30% AMI",NOT($M767="Common Space"))),$E767,"")</f>
        <v/>
      </c>
      <c r="BG767" s="683" t="str">
        <f t="shared" ref="BG767:BG804" si="40">IF(OR(AND($C767=1,$J767="PHA Oper Sub",$B767="30% AMI",NOT($M767="Common Space")),AND($C767=1,$J767="PHA Oper Sub",$B767="HOME 30% AMI",NOT($M767="Common Space"))),$E767,"")</f>
        <v/>
      </c>
      <c r="BH767" s="683" t="str">
        <f t="shared" ref="BH767:BH804" si="41">IF(OR(AND($C767=2,$J767="PHA Oper Sub",$B767="30% AMI",NOT($M767="Common Space")),AND($C767=2,$J767="PHA Oper Sub",$B767="HOME 30% AMI",NOT($M767="Common Space"))),$E767,"")</f>
        <v/>
      </c>
      <c r="BI767" s="683" t="str">
        <f t="shared" ref="BI767:BI804" si="42">IF(OR(AND($C767=3,$J767="PHA Oper Sub",$B767="30% AMI",NOT($M767="Common Space")),AND($C767=3,$J767="PHA Oper Sub",$B767="HOME 30% AMI",NOT($M767="Common Space"))),$E767,"")</f>
        <v/>
      </c>
      <c r="BJ767" s="683" t="str">
        <f t="shared" ref="BJ767:BJ804" si="43">IF(OR(AND($C767=4,$J767="PHA Oper Sub",$B767="30% AMI",NOT($M767="Common Space")),AND($C767=4,$J767="PHA Oper Sub",$B767="HOME 30% AMI",NOT($M767="Common Space"))),$E767,"")</f>
        <v/>
      </c>
      <c r="BK767" s="683" t="str">
        <f t="shared" ref="BK767:BK804" si="44">IF(OR(AND($C767="Efficiency",$J767="PHA Oper Sub",$B767="50% AMI",NOT($M767="Common Space")),AND($C767="Efficiency",$J767="PHA Oper Sub",$B767="HOME 50% AMI",NOT($M767="Common Space"))),$E767,"")</f>
        <v/>
      </c>
      <c r="BL767" s="683" t="str">
        <f t="shared" ref="BL767:BL804" si="45">IF(OR(AND($C767=1,$J767="PHA Oper Sub",$B767="50% AMI",NOT($M767="Common Space")),AND($C767=1,$J767="PHA Oper Sub",$B767="HOME 50% AMI",NOT($M767="Common Space"))),$E767,"")</f>
        <v/>
      </c>
      <c r="BM767" s="683" t="str">
        <f t="shared" ref="BM767:BM804" si="46">IF(OR(AND($C767=2,$J767="PHA Oper Sub",$B767="50% AMI",NOT($M767="Common Space")),AND($C767=2,$J767="PHA Oper Sub",$B767="HOME 50% AMI",NOT($M767="Common Space"))),$E767,"")</f>
        <v/>
      </c>
      <c r="BN767" s="683" t="str">
        <f t="shared" ref="BN767:BN804" si="47">IF(OR(AND($C767=3,$J767="PHA Oper Sub",$B767="50% AMI",NOT($M767="Common Space")),AND($C767=3,$J767="PHA Oper Sub",$B767="HOME 50% AMI",NOT($M767="Common Space"))),$E767,"")</f>
        <v/>
      </c>
      <c r="BO767" s="683" t="str">
        <f t="shared" ref="BO767:BO804" si="48">IF(OR(AND($C767=4,$J767="PHA Oper Sub",$B767="50% AMI",NOT($M767="Common Space")),AND($C767=4,$J767="PHA Oper Sub",$B767="HOME 50% AMI",NOT($M767="Common Space"))),$E767,"")</f>
        <v/>
      </c>
      <c r="BP767" s="683" t="str">
        <f t="shared" ref="BP767:BP804" si="49">IF(OR(AND($C767="Efficiency",$J767="PHA Oper Sub",$B767="60% AMI",NOT($M767="Common Space")),AND($C767="Efficiency",$J767="PHA Oper Sub",$B767="HOME 60% AMI",NOT($M767="Common Space"))),$E767,"")</f>
        <v/>
      </c>
      <c r="BQ767" s="683" t="str">
        <f t="shared" ref="BQ767:BQ804" si="50">IF(OR(AND($C767=1,$J767="PHA Oper Sub",$B767="60% AMI",NOT($M767="Common Space")),AND($C767=1,$J767="PHA Oper Sub",$B767="HOME 60% AMI",NOT($M767="Common Space"))),$E767,"")</f>
        <v/>
      </c>
      <c r="BR767" s="683" t="str">
        <f t="shared" ref="BR767:BR804" si="51">IF(OR(AND($C767=2,$J767="PHA Oper Sub",$B767="60% AMI",NOT($M767="Common Space")),AND($C767=2,$J767="PHA Oper Sub",$B767="HOME 60% AMI",NOT($M767="Common Space"))),$E767,"")</f>
        <v/>
      </c>
      <c r="BS767" s="683" t="str">
        <f t="shared" ref="BS767:BS804" si="52">IF(OR(AND($C767=3,$J767="PHA Oper Sub",$B767="60% AMI",NOT($M767="Common Space")),AND($C767=3,$J767="PHA Oper Sub",$B767="HOME 60% AMI",NOT($M767="Common Space"))),$E767,"")</f>
        <v/>
      </c>
      <c r="BT767" s="683" t="str">
        <f t="shared" ref="BT767:BT804" si="53">IF(OR(AND($C767=4,$J767="PHA Oper Sub",$B767="60% AMI",NOT($M767="Common Space")),AND($C767=4,$J767="PHA Oper Sub",$B767="HOME 60% AMI",NOT($M767="Common Space"))),$E767,"")</f>
        <v/>
      </c>
      <c r="BU767" s="683" t="str">
        <f t="shared" ref="BU767:BU804" si="54">IF(AND(C767="Efficiency",M767="Common Space"),E767,"")</f>
        <v/>
      </c>
      <c r="BV767" s="683" t="str">
        <f t="shared" ref="BV767:BV804" si="55">IF(AND(C767=1,M767="Common Space"),E767,"")</f>
        <v/>
      </c>
      <c r="BW767" s="683" t="str">
        <f t="shared" ref="BW767:BW804" si="56">IF(AND(C767=2,M767="Common Space"),E767,"")</f>
        <v/>
      </c>
      <c r="BX767" s="683" t="str">
        <f t="shared" ref="BX767:BX804" si="57">IF(AND(C767=3,M767="Common Space"),E767,"")</f>
        <v/>
      </c>
      <c r="BY767" s="683" t="str">
        <f t="shared" ref="BY767:BY804" si="58">IF(AND(C767=4,M767="Common Space"),E767,"")</f>
        <v/>
      </c>
      <c r="BZ767" s="683" t="str">
        <f t="shared" ref="BZ767:BZ804" si="59">IF(OR(AND(C767="Efficiency",B767="60% AMI",NOT(M767="Common Space")),AND(C767="Efficiency",B767="HOME 60% AMI",NOT(M767="Common Space"))),E767*F767,"")</f>
        <v/>
      </c>
      <c r="CA767" s="683" t="str">
        <f t="shared" ref="CA767:CA804" si="60">IF(OR(AND(C767=1,B767="60% AMI",NOT(M767="Common Space")),AND(C767=1,B767="HOME 60% AMI",NOT(M767="Common Space"))),E767*F767,"")</f>
        <v/>
      </c>
      <c r="CB767" s="683">
        <f t="shared" ref="CB767:CB804" si="61">IF(OR(AND(C767=2,B767="60% AMI",NOT(M767="Common Space")),AND(C767=2,B767="HOME 60% AMI",NOT(M767="Common Space"))),E767*F767,"")</f>
        <v>17500</v>
      </c>
      <c r="CC767" s="683" t="str">
        <f t="shared" ref="CC767:CC804" si="62">IF(OR(AND(C767=3,B767="60% AMI",NOT(M767="Common Space")),AND(C767=3,B767="HOME 60% AMI",NOT(M767="Common Space"))),E767*F767,"")</f>
        <v/>
      </c>
      <c r="CD767" s="683" t="str">
        <f t="shared" ref="CD767:CD804" si="63">IF(OR(AND(C767=4,B767="60% AMI",NOT(M767="Common Space")),AND(C767=4,B767="HOME 60% AMI",NOT(M767="Common Space"))),E767*F767,"")</f>
        <v/>
      </c>
      <c r="CE767" s="683" t="str">
        <f t="shared" ref="CE767:CE804" si="64">IF(OR(AND(C767="Efficiency",B767="50% AMI",NOT(M767="Common Space")),AND(C767="Efficiency",B767="HOME 50% AMI",NOT(M767="Common Space"))),E767*F767,"")</f>
        <v/>
      </c>
      <c r="CF767" s="683" t="str">
        <f t="shared" ref="CF767:CF804" si="65">IF(OR(AND(C767=1,B767="50% AMI",NOT(M767="Common Space")),AND(C767=1,B767="HOME 50% AMI",NOT(M767="Common Space"))),E767*F767,"")</f>
        <v/>
      </c>
      <c r="CG767" s="683" t="str">
        <f t="shared" ref="CG767:CG804" si="66">IF(OR(AND(C767=2,B767="50% AMI",NOT(M767="Common Space")),AND(C767=2,B767="HOME 50% AMI",NOT(M767="Common Space"))),E767*F767,"")</f>
        <v/>
      </c>
      <c r="CH767" s="683" t="str">
        <f t="shared" ref="CH767:CH804" si="67">IF(OR(AND(C767=3,B767="50% AMI",NOT(M767="Common Space")),AND(C767=3,B767="HOME 50% AMI",NOT(M767="Common Space"))),E767*F767,"")</f>
        <v/>
      </c>
      <c r="CI767" s="683" t="str">
        <f t="shared" ref="CI767:CI804" si="68">IF(OR(AND(C767=4,B767="50% AMI",NOT(M767="Common Space")),AND(C767=4,B767="HOME 50% AMI",NOT(M767="Common Space"))),E767*F767,"")</f>
        <v/>
      </c>
      <c r="CJ767" s="683" t="str">
        <f t="shared" ref="CJ767:CJ804" si="69">IF(OR(AND(C767="Efficiency",B767="30% AMI",NOT(M767="Common Space")),AND(C767="Efficiency",B767="HOME 30% AMI",NOT(M767="Common Space"))),E767*F767,"")</f>
        <v/>
      </c>
      <c r="CK767" s="683" t="str">
        <f t="shared" ref="CK767:CK804" si="70">IF(OR(AND(C767=1,B767="30% AMI",NOT(M767="Common Space")),AND(C767=1,B767="HOME 30% AMI",NOT(M767="Common Space"))),E767*F767,"")</f>
        <v/>
      </c>
      <c r="CL767" s="683" t="str">
        <f t="shared" ref="CL767:CL804" si="71">IF(OR(AND(C767=2,B767="30% AMI",NOT(M767="Common Space")),AND(C767=2,B767="HOME 30% AMI",NOT(M767="Common Space"))),E767*F767,"")</f>
        <v/>
      </c>
      <c r="CM767" s="683" t="str">
        <f t="shared" ref="CM767:CM804" si="72">IF(OR(AND(C767=3,B767="30% AMI",NOT(M767="Common Space")),AND(C767=3,B767="HOME 30% AMI",NOT(M767="Common Space"))),E767*F767,"")</f>
        <v/>
      </c>
      <c r="CN767" s="683" t="str">
        <f t="shared" ref="CN767:CN804" si="73">IF(OR(AND(C767=4,B767="30% AMI",NOT(M767="Common Space")),AND(C767=4,B767="HOME 30% AMI",NOT(M767="Common Space"))),E767*F767,"")</f>
        <v/>
      </c>
      <c r="CO767" s="683" t="str">
        <f t="shared" ref="CO767:CO804" si="74">IF(AND(C767="Efficiency",B767="Unrestricted",NOT(M767="Common Space")),E767*F767,"")</f>
        <v/>
      </c>
      <c r="CP767" s="683" t="str">
        <f t="shared" ref="CP767:CP804" si="75">IF(AND(C767=1,B767="Unrestricted",NOT(M767="Common Space")),E767*F767,"")</f>
        <v/>
      </c>
      <c r="CQ767" s="683" t="str">
        <f t="shared" ref="CQ767:CQ804" si="76">IF(AND(C767=2,B767="Unrestricted",NOT(M767="Common Space")),E767*F767,"")</f>
        <v/>
      </c>
      <c r="CR767" s="683" t="str">
        <f t="shared" ref="CR767:CR804" si="77">IF(AND(C767=3,B767="Unrestricted",NOT(M767="Common Space")),E767*F767,"")</f>
        <v/>
      </c>
      <c r="CS767" s="683" t="str">
        <f t="shared" ref="CS767:CS804" si="78">IF(AND(C767=4,B767="Unrestricted",NOT(M767="Common Space")),E767*F767,"")</f>
        <v/>
      </c>
      <c r="CT767" s="683" t="str">
        <f t="shared" ref="CT767:CT804" si="79">IF(AND(C767="Efficiency",NOT(J767=""),NOT($J767=0),NOT(M767="Common Space")),E767*F767,"")</f>
        <v/>
      </c>
      <c r="CU767" s="683" t="str">
        <f t="shared" ref="CU767:CU804" si="80">IF(AND(C767=1,NOT(J767=""),NOT($J767=0),NOT(M767="Common Space")),E767*F767,"")</f>
        <v/>
      </c>
      <c r="CV767" s="683" t="str">
        <f t="shared" ref="CV767:CV804" si="81">IF(AND(C767=2,NOT(J767=""),NOT($J767=0),NOT(M767="Common Space")),E767*F767,"")</f>
        <v/>
      </c>
      <c r="CW767" s="683" t="str">
        <f t="shared" ref="CW767:CW804" si="82">IF(AND(C767=3,NOT(J767=""),NOT($J767=0),NOT(M767="Common Space")),E767*F767,"")</f>
        <v/>
      </c>
      <c r="CX767" s="683" t="str">
        <f t="shared" ref="CX767:CX804" si="83">IF(AND(C767=4,NOT(J767=""),NOT($J767=0),NOT(M767="Common Space")),E767*F767,"")</f>
        <v/>
      </c>
      <c r="CY767" s="683" t="str">
        <f t="shared" ref="CY767:CY804" si="84">IF(AND(C767="Efficiency",M767="Common Space"),E767*F767,"")</f>
        <v/>
      </c>
      <c r="CZ767" s="683" t="str">
        <f t="shared" ref="CZ767:CZ804" si="85">IF(AND(C767=1,M767="Common Space"),E767*F767,"")</f>
        <v/>
      </c>
      <c r="DA767" s="683" t="str">
        <f t="shared" ref="DA767:DA804" si="86">IF(AND(C767=2,M767="Common Space"),E767*F767,"")</f>
        <v/>
      </c>
      <c r="DB767" s="683" t="str">
        <f t="shared" ref="DB767:DB804" si="87">IF(AND(C767=3,M767="Common Space"),E767*F767,"")</f>
        <v/>
      </c>
      <c r="DC767" s="683" t="str">
        <f t="shared" ref="DC767:DC804" si="88">IF(AND(C767=4,M767="Common Space"),E767*F767,"")</f>
        <v/>
      </c>
      <c r="DD767" s="683" t="str">
        <f t="shared" ref="DD767:DD804" si="89">IF(AND($C767="Efficiency", $O767="New Construction",NOT($B767="Unrestricted"),NOT($B767="NSP 120% AMI"),NOT($B767="N/A-CS"),NOT($M767="Common Space")),$E767,"")</f>
        <v/>
      </c>
      <c r="DE767" s="683" t="str">
        <f t="shared" ref="DE767:DE804" si="90">IF(AND($C767=1, $O767="New Construction",NOT($B767="Unrestricted"),NOT($B767="NSP 120% AMI"),NOT($B767="N/A-CS"),NOT($M767="Common Space")),$E767,"")</f>
        <v/>
      </c>
      <c r="DF767" s="683">
        <f t="shared" ref="DF767:DF804" si="91">IF(AND($C767=2, $O767="New Construction",NOT($B767="Unrestricted"),NOT($B767="NSP 120% AMI"),NOT($B767="N/A-CS"),NOT($M767="Common Space")),$E767,"")</f>
        <v>14</v>
      </c>
      <c r="DG767" s="683" t="str">
        <f t="shared" ref="DG767:DG804" si="92">IF(AND($C767=3, $O767="New Construction",NOT($B767="Unrestricted"),NOT($B767="NSP 120% AMI"),NOT($B767="N/A-CS"),NOT($M767="Common Space")),$E767,"")</f>
        <v/>
      </c>
      <c r="DH767" s="683" t="str">
        <f t="shared" ref="DH767:DH804" si="93">IF(AND($C767=4, $O767="New Construction",NOT($B767="Unrestricted"),NOT($B767="NSP 120% AMI"),NOT($B767="N/A-CS"),NOT($M767="Common Space")),$E767,"")</f>
        <v/>
      </c>
      <c r="DI767" s="683" t="str">
        <f t="shared" ref="DI767:DI804" si="94">IF(AND($C767="Efficiency", $O767="New Construction",$B767="Unrestricted",NOT($B767="N/A-CS"),NOT($M767="Common Space")),$E767,"")</f>
        <v/>
      </c>
      <c r="DJ767" s="683" t="str">
        <f t="shared" ref="DJ767:DJ804" si="95">IF(AND($C767=1, $O767="New Construction",$B767="Unrestricted",NOT($B767="N/A-CS"),NOT($M767="Common Space")),$E767,"")</f>
        <v/>
      </c>
      <c r="DK767" s="683" t="str">
        <f t="shared" ref="DK767:DK804" si="96">IF(AND($C767=2, $O767="New Construction",$B767="Unrestricted",NOT($B767="N/A-CS"),NOT($M767="Common Space")),$E767,"")</f>
        <v/>
      </c>
      <c r="DL767" s="683" t="str">
        <f t="shared" ref="DL767:DL804" si="97">IF(AND($C767=3, $O767="New Construction",$B767="Unrestricted",NOT($B767="N/A-CS"),NOT($M767="Common Space")),$E767,"")</f>
        <v/>
      </c>
      <c r="DM767" s="683" t="str">
        <f t="shared" ref="DM767:DM804" si="98">IF(AND($C767=4, $O767="New Construction",$B767="Unrestricted",NOT($B767="N/A-CS"),NOT($M767="Common Space")),$E767,"")</f>
        <v/>
      </c>
      <c r="DN767" s="683" t="str">
        <f t="shared" ref="DN767:DN804" si="99">IF(AND($C767="Efficiency", $O767="New Construction",$B767="N/A-CS",$M767="Common Space"),$E767,"")</f>
        <v/>
      </c>
      <c r="DO767" s="683" t="str">
        <f t="shared" ref="DO767:DO804" si="100">IF(AND($C767=1, $O767="New Construction",$B767="N/A-CS",$M767="Common Space"),$E767,"")</f>
        <v/>
      </c>
      <c r="DP767" s="683" t="str">
        <f t="shared" ref="DP767:DP804" si="101">IF(AND($C767=2, $O767="New Construction",$B767="N/A-CS",$M767="Common Space"),$E767,"")</f>
        <v/>
      </c>
      <c r="DQ767" s="683" t="str">
        <f t="shared" ref="DQ767:DQ804" si="102">IF(AND($C767=3, $O767="New Construction",$B767="N/A-CS",$M767="Common Space"),$E767,"")</f>
        <v/>
      </c>
      <c r="DR767" s="683" t="str">
        <f t="shared" ref="DR767:DR804" si="103">IF(AND($C767=4, $O767="New Construction",$B767="N/A-CS",$M767="Common Space"),$E767,"")</f>
        <v/>
      </c>
      <c r="DS767" s="683" t="str">
        <f t="shared" ref="DS767:DS804" si="104">IF(AND($C767="Efficiency", $O767="Acquisition/Rehab",NOT($B767="Unrestricted"),NOT($B767="NSP 120% AMI"),NOT($B767="N/A-CS"),NOT($M767="Common Space")),$E767,"")</f>
        <v/>
      </c>
      <c r="DT767" s="683" t="str">
        <f t="shared" ref="DT767:DT804" si="105">IF(AND($C767=1, $O767="Acquisition/Rehab",NOT($B767="Unrestricted"),NOT($B767="NSP 120% AMI"),NOT($B767="N/A-CS"),NOT($M767="Common Space")),$E767,"")</f>
        <v/>
      </c>
      <c r="DU767" s="683" t="str">
        <f t="shared" ref="DU767:DU804" si="106">IF(AND($C767=2, $O767="Acquisition/Rehab",NOT($B767="Unrestricted"),NOT($B767="NSP 120% AMI"),NOT($B767="N/A-CS"),NOT($M767="Common Space")),$E767,"")</f>
        <v/>
      </c>
      <c r="DV767" s="683" t="str">
        <f t="shared" ref="DV767:DV804" si="107">IF(AND($C767=3, $O767="Acquisition/Rehab",NOT($B767="Unrestricted"),NOT($B767="NSP 120% AMI"),NOT($B767="N/A-CS"),NOT($M767="Common Space")),$E767,"")</f>
        <v/>
      </c>
      <c r="DW767" s="683" t="str">
        <f t="shared" ref="DW767:DW804" si="108">IF(AND($C767=4, $O767="Acquisition/Rehab",NOT($B767="Unrestricted"),NOT($B767="NSP 120% AMI"),NOT($B767="N/A-CS"),NOT($M767="Common Space")),$E767,"")</f>
        <v/>
      </c>
      <c r="DX767" s="683" t="str">
        <f t="shared" ref="DX767:DX804" si="109">IF(AND($C767="Efficiency", $O767="Acquisition/Rehab",$B767="Unrestricted",NOT($B767="N/A-CS"),NOT($M767="Common Space")),$E767,"")</f>
        <v/>
      </c>
      <c r="DY767" s="683" t="str">
        <f t="shared" ref="DY767:DY804" si="110">IF(AND($C767=1, $O767="Acquisition/Rehab",$B767="Unrestricted",NOT($B767="N/A-CS"),NOT($M767="Common Space")),$E767,"")</f>
        <v/>
      </c>
      <c r="DZ767" s="683" t="str">
        <f t="shared" ref="DZ767:DZ804" si="111">IF(AND($C767=2, $O767="Acquisition/Rehab",$B767="Unrestricted",NOT($B767="N/A-CS"),NOT($M767="Common Space")),$E767,"")</f>
        <v/>
      </c>
      <c r="EA767" s="683" t="str">
        <f t="shared" ref="EA767:EA804" si="112">IF(AND($C767=3, $O767="Acquisition/Rehab",$B767="Unrestricted",NOT($B767="N/A-CS"),NOT($M767="Common Space")),$E767,"")</f>
        <v/>
      </c>
      <c r="EB767" s="683" t="str">
        <f t="shared" ref="EB767:EB804" si="113">IF(AND($C767=4, $O767="Acquisition/Rehab",$B767="Unrestricted",NOT($B767="N/A-CS"),NOT($M767="Common Space")),$E767,"")</f>
        <v/>
      </c>
      <c r="EC767" s="683" t="str">
        <f t="shared" ref="EC767:EC804" si="114">IF(AND($C767="Efficiency", $O767="Acquisition/Rehab",$B767="N/A-CS",$M767="Common Space"),$E767,"")</f>
        <v/>
      </c>
      <c r="ED767" s="683" t="str">
        <f t="shared" ref="ED767:ED804" si="115">IF(AND($C767=1, $O767="Acquisition/Rehab",$B767="N/A-CS",$M767="Common Space"),$E767,"")</f>
        <v/>
      </c>
      <c r="EE767" s="683" t="str">
        <f t="shared" ref="EE767:EE804" si="116">IF(AND($C767=2, $O767="Acquisition/Rehab",$B767="N/A-CS",$M767="Common Space"),$E767,"")</f>
        <v/>
      </c>
      <c r="EF767" s="683" t="str">
        <f t="shared" ref="EF767:EF804" si="117">IF(AND($C767=3, $O767="Acquisition/Rehab",$B767="N/A-CS",$M767="Common Space"),$E767,"")</f>
        <v/>
      </c>
      <c r="EG767" s="683" t="str">
        <f t="shared" ref="EG767:EG804" si="118">IF(AND($C767=4, $O767="Acquisition/Rehab",$B767="N/A-CS",$M767="Common Space"),$E767,"")</f>
        <v/>
      </c>
      <c r="EH767" s="683" t="str">
        <f t="shared" ref="EH767:EH804" si="119">IF(AND($C767="Efficiency", $O767="Rehabilitation",NOT($B767="Unrestricted"),NOT($B767="NSP 120% AMI"),NOT($B767="N/A-CS"),NOT($M767="Common Space")),$E767,"")</f>
        <v/>
      </c>
      <c r="EI767" s="683" t="str">
        <f t="shared" ref="EI767:EI804" si="120">IF(AND($C767=1, $O767="Rehabilitation",NOT($B767="Unrestricted"),NOT($B767="NSP 120% AMI"),NOT($B767="N/A-CS"),NOT($M767="Common Space")),$E767,"")</f>
        <v/>
      </c>
      <c r="EJ767" s="683" t="str">
        <f t="shared" ref="EJ767:EJ804" si="121">IF(AND($C767=2, $O767="Rehabilitation",NOT($B767="Unrestricted"),NOT($B767="NSP 120% AMI"),NOT($B767="N/A-CS"),NOT($M767="Common Space")),$E767,"")</f>
        <v/>
      </c>
      <c r="EK767" s="683" t="str">
        <f t="shared" ref="EK767:EK804" si="122">IF(AND($C767=3, $O767="Rehabilitation",NOT($B767="Unrestricted"),NOT($B767="NSP 120% AMI"),NOT($B767="N/A-CS"),NOT($M767="Common Space")),$E767,"")</f>
        <v/>
      </c>
      <c r="EL767" s="683" t="str">
        <f t="shared" ref="EL767:EL804" si="123">IF(AND($C767=4, $O767="Rehabilitation",NOT($B767="Unrestricted"),NOT($B767="NSP 120% AMI"),NOT($B767="N/A-CS"),NOT($M767="Common Space")),$E767,"")</f>
        <v/>
      </c>
      <c r="EM767" s="683" t="str">
        <f t="shared" ref="EM767:EM804" si="124">IF(AND($C767="Efficiency", $O767="Rehabilitation",$B767="Unrestricted",NOT($B767="N/A-CS"),NOT($M767="Common Space")),$E767,"")</f>
        <v/>
      </c>
      <c r="EN767" s="683" t="str">
        <f t="shared" ref="EN767:EN804" si="125">IF(AND($C767=1, $O767="Rehabilitation",$B767="Unrestricted",NOT($B767="N/A-CS"),NOT($M767="Common Space")),$E767,"")</f>
        <v/>
      </c>
      <c r="EO767" s="683" t="str">
        <f t="shared" ref="EO767:EO804" si="126">IF(AND($C767=2, $O767="Rehabilitation",$B767="Unrestricted",NOT($B767="N/A-CS"),NOT($M767="Common Space")),$E767,"")</f>
        <v/>
      </c>
      <c r="EP767" s="683" t="str">
        <f t="shared" ref="EP767:EP804" si="127">IF(AND($C767=3, $O767="Rehabilitation",$B767="Unrestricted",NOT($B767="N/A-CS"),NOT($M767="Common Space")),$E767,"")</f>
        <v/>
      </c>
      <c r="EQ767" s="683" t="str">
        <f t="shared" ref="EQ767:EQ804" si="128">IF(AND($C767=4, $O767="Rehabilitation",$B767="Unrestricted",NOT($B767="N/A-CS"),NOT($M767="Common Space")),$E767,"")</f>
        <v/>
      </c>
      <c r="ER767" s="683" t="str">
        <f t="shared" ref="ER767:ER804" si="129">IF(AND($C767="Efficiency", $O767="Rehabilitation",$B767="N/A-CS",$M767="Common Space"),$E767,"")</f>
        <v/>
      </c>
      <c r="ES767" s="683" t="str">
        <f t="shared" ref="ES767:ES804" si="130">IF(AND($C767=1, $O767="Rehabilitation",$B767="N/A-CS",$M767="Common Space"),$E767,"")</f>
        <v/>
      </c>
      <c r="ET767" s="683" t="str">
        <f t="shared" ref="ET767:ET804" si="131">IF(AND($C767=2, $O767="Rehabilitation",$B767="N/A-CS",$M767="Common Space"),$E767,"")</f>
        <v/>
      </c>
      <c r="EU767" s="683" t="str">
        <f t="shared" ref="EU767:EU804" si="132">IF(AND($C767=3, $O767="Rehabilitation",$B767="N/A-CS",$M767="Common Space"),$E767,"")</f>
        <v/>
      </c>
      <c r="EV767" s="683" t="str">
        <f t="shared" ref="EV767:EV804" si="133">IF(AND($C767=4, $O767="Rehabilitation",$B767="N/A-CS",$M767="Common Space"),$E767,"")</f>
        <v/>
      </c>
      <c r="EW767" s="1854" t="str">
        <f t="shared" ref="EW767:EW804" si="134">IF(AND($C767="Efficiency", NOT(OR($N767="SF Detached",$N767="Mfd Home",$N767="Duplex",$N767="Townhome"))),$E767,"")</f>
        <v/>
      </c>
      <c r="EX767" s="1854" t="str">
        <f t="shared" ref="EX767:EX804" si="135">IF(AND($C767=1, NOT(OR($N767="SF Detached",$N767="Mfd Home",$N767="Duplex",$N767="Townhome"))),$E767,"")</f>
        <v/>
      </c>
      <c r="EY767" s="1854" t="str">
        <f t="shared" ref="EY767:EY804" si="136">IF(AND($C767=2, NOT(OR($N767="SF Detached",$N767="Mfd Home",$N767="Duplex",$N767="Townhome"))),$E767,"")</f>
        <v/>
      </c>
      <c r="EZ767" s="1854" t="str">
        <f t="shared" ref="EZ767:EZ804" si="137">IF(AND($C767=3, NOT(OR($N767="SF Detached",$N767="Mfd Home",$N767="Duplex",$N767="Townhome"))),$E767,"")</f>
        <v/>
      </c>
      <c r="FA767" s="1854" t="str">
        <f t="shared" ref="FA767:FA804" si="138">IF(AND($C767=4, NOT(OR($N767="SF Detached",$N767="Mfd Home",$N767="Duplex",$N767="Townhome"))),$E767,"")</f>
        <v/>
      </c>
      <c r="FB767" s="1854" t="str">
        <f t="shared" ref="FB767:FB804" si="139">IF(AND($C767="Efficiency", $N767="SF Detached",NOT($P767="Yes")),$E767,"")</f>
        <v/>
      </c>
      <c r="FC767" s="1854" t="str">
        <f t="shared" ref="FC767:FC804" si="140">IF(AND($C767=1, $N767="SF Detached",NOT($P767="Yes")),$E767,"")</f>
        <v/>
      </c>
      <c r="FD767" s="1854" t="str">
        <f t="shared" ref="FD767:FD804" si="141">IF(AND($C767=2, $N767="SF Detached",NOT($P767="Yes")),$E767,"")</f>
        <v/>
      </c>
      <c r="FE767" s="1854" t="str">
        <f t="shared" ref="FE767:FE804" si="142">IF(AND($C767=3, $N767="SF Detached",NOT($P767="Yes")),$E767,"")</f>
        <v/>
      </c>
      <c r="FF767" s="1854" t="str">
        <f t="shared" ref="FF767:FF804" si="143">IF(AND($C767=4, $N767="SF Detached",NOT($P767="Yes")),$E767,"")</f>
        <v/>
      </c>
      <c r="FG767" s="1854" t="str">
        <f t="shared" ref="FG767:FG804" si="144">IF(AND($C767="Efficiency", $N767="SF Detached",$P767="Yes"),$E767,"")</f>
        <v/>
      </c>
      <c r="FH767" s="1854" t="str">
        <f t="shared" ref="FH767:FH804" si="145">IF(AND($C767=1, $N767="SF Detached",$P767="Yes"),$E767,"")</f>
        <v/>
      </c>
      <c r="FI767" s="1854" t="str">
        <f t="shared" ref="FI767:FI804" si="146">IF(AND($C767=2, $N767="SF Detached",$P767="Yes"),$E767,"")</f>
        <v/>
      </c>
      <c r="FJ767" s="1854" t="str">
        <f t="shared" ref="FJ767:FJ804" si="147">IF(AND($C767=3, $N767="SF Detached",$P767="Yes"),$E767,"")</f>
        <v/>
      </c>
      <c r="FK767" s="1854" t="str">
        <f t="shared" ref="FK767:FK804" si="148">IF(AND($C767=4, $N767="SF Detached",$P767="Yes"),$E767,"")</f>
        <v/>
      </c>
      <c r="FL767" s="1854" t="str">
        <f t="shared" ref="FL767:FL804" si="149">IF(AND($C767="Efficiency", $N767="Mfd Home",NOT($P767="Yes")),$E767,"")</f>
        <v/>
      </c>
      <c r="FM767" s="1854" t="str">
        <f t="shared" ref="FM767:FM804" si="150">IF(AND($C767=1, $N767="Mfd Home",NOT($P767="Yes")),$E767,"")</f>
        <v/>
      </c>
      <c r="FN767" s="1854" t="str">
        <f t="shared" ref="FN767:FN804" si="151">IF(AND($C767=2, $N767="Mfd Home",NOT($P767="Yes")),$E767,"")</f>
        <v/>
      </c>
      <c r="FO767" s="1854" t="str">
        <f t="shared" ref="FO767:FO804" si="152">IF(AND($C767=3, $N767="Mfd Home",NOT($P767="Yes")),$E767,"")</f>
        <v/>
      </c>
      <c r="FP767" s="1854" t="str">
        <f t="shared" ref="FP767:FP804" si="153">IF(AND($C767=4, $N767="Mfd Home",NOT($P767="Yes")),$E767,"")</f>
        <v/>
      </c>
      <c r="FQ767" s="1854" t="str">
        <f t="shared" ref="FQ767:FQ804" si="154">IF(AND($C767="Efficiency", $N767="Mfd Home",$P767="Yes"),$E767,"")</f>
        <v/>
      </c>
      <c r="FR767" s="1854" t="str">
        <f t="shared" ref="FR767:FR804" si="155">IF(AND($C767=1, $N767="Mfd Home",$P767="Yes"),$E767,"")</f>
        <v/>
      </c>
      <c r="FS767" s="1854" t="str">
        <f t="shared" ref="FS767:FS804" si="156">IF(AND($C767=2, $N767="Mfd Home",$P767="Yes"),$E767,"")</f>
        <v/>
      </c>
      <c r="FT767" s="1854" t="str">
        <f t="shared" ref="FT767:FT804" si="157">IF(AND($C767=3, $N767="Mfd Home",$P767="Yes"),$E767,"")</f>
        <v/>
      </c>
      <c r="FU767" s="1854" t="str">
        <f t="shared" ref="FU767:FU804" si="158">IF(AND($C767=4, $N767="Mfd Home",$P767="Yes"),$E767,"")</f>
        <v/>
      </c>
      <c r="FV767" s="1854" t="str">
        <f t="shared" ref="FV767:FV804" si="159">IF(AND($C767="Efficiency", $N767="Duplex",NOT($P767="Yes")),$E767,"")</f>
        <v/>
      </c>
      <c r="FW767" s="1854" t="str">
        <f t="shared" ref="FW767:FW804" si="160">IF(AND($C767=1, $N767="Duplex",NOT($P767="Yes")),$E767,"")</f>
        <v/>
      </c>
      <c r="FX767" s="1854">
        <f t="shared" ref="FX767:FX804" si="161">IF(AND($C767=2, $N767="Duplex",NOT($P767="Yes")),$E767,"")</f>
        <v>14</v>
      </c>
      <c r="FY767" s="1854" t="str">
        <f t="shared" ref="FY767:FY804" si="162">IF(AND($C767=3, $N767="Duplex",NOT($P767="Yes")),$E767,"")</f>
        <v/>
      </c>
      <c r="FZ767" s="1854" t="str">
        <f t="shared" ref="FZ767:FZ804" si="163">IF(AND($C767=4, $N767="Duplex",NOT($P767="Yes")),$E767,"")</f>
        <v/>
      </c>
      <c r="GA767" s="1854" t="str">
        <f t="shared" ref="GA767:GA804" si="164">IF(AND($C767="Efficiency", $N767="Duplex",$P767="Yes"),$E767,"")</f>
        <v/>
      </c>
      <c r="GB767" s="1854" t="str">
        <f t="shared" ref="GB767:GB804" si="165">IF(AND($C767=1, $N767="Duplex",$P767="Yes"),$E767,"")</f>
        <v/>
      </c>
      <c r="GC767" s="1854" t="str">
        <f t="shared" ref="GC767:GC804" si="166">IF(AND($C767=2, $N767="Duplex",$P767="Yes"),$E767,"")</f>
        <v/>
      </c>
      <c r="GD767" s="1854" t="str">
        <f t="shared" ref="GD767:GD804" si="167">IF(AND($C767=3, $N767="Duplex",$P767="Yes"),$E767,"")</f>
        <v/>
      </c>
      <c r="GE767" s="1854" t="str">
        <f t="shared" ref="GE767:GE804" si="168">IF(AND($C767=4, $N767="Duplex",$P767="Yes"),$E767,"")</f>
        <v/>
      </c>
      <c r="GF767" s="1854" t="str">
        <f t="shared" ref="GF767:GF804" si="169">IF(AND($C767="Efficiency", $N767="Townhome",NOT($P767="Yes")),$E767,"")</f>
        <v/>
      </c>
      <c r="GG767" s="1854" t="str">
        <f t="shared" ref="GG767:GG804" si="170">IF(AND($C767=1, $N767="Townhome",NOT($P767="Yes")),$E767,"")</f>
        <v/>
      </c>
      <c r="GH767" s="1854" t="str">
        <f t="shared" ref="GH767:GH804" si="171">IF(AND($C767=2, $N767="Townhome",NOT($P767="Yes")),$E767,"")</f>
        <v/>
      </c>
      <c r="GI767" s="1854" t="str">
        <f t="shared" ref="GI767:GI804" si="172">IF(AND($C767=3, $N767="Townhome",NOT($P767="Yes")),$E767,"")</f>
        <v/>
      </c>
      <c r="GJ767" s="1854" t="str">
        <f t="shared" ref="GJ767:GJ804" si="173">IF(AND($C767=4, $N767="Townhome",NOT($P767="Yes")),$E767,"")</f>
        <v/>
      </c>
      <c r="GK767" s="1854" t="str">
        <f t="shared" ref="GK767:GK804" si="174">IF(AND($C767="Efficiency", $N767="Townhome",$P767="Yes"),$E767,"")</f>
        <v/>
      </c>
      <c r="GL767" s="1854" t="str">
        <f t="shared" ref="GL767:GL804" si="175">IF(AND($C767=1, $N767="Townhome",$P767="Yes"),$E767,"")</f>
        <v/>
      </c>
      <c r="GM767" s="1854" t="str">
        <f t="shared" ref="GM767:GM804" si="176">IF(AND($C767=2, $N767="Townhome",$P767="Yes"),$E767,"")</f>
        <v/>
      </c>
      <c r="GN767" s="1854" t="str">
        <f t="shared" ref="GN767:GN804" si="177">IF(AND($C767=3, $N767="Townhome",$P767="Yes"),$E767,"")</f>
        <v/>
      </c>
      <c r="GO767" s="1854" t="str">
        <f t="shared" ref="GO767:GO804" si="178">IF(AND($C767=4, $N767="Townhome",$P767="Yes"),$E767,"")</f>
        <v/>
      </c>
      <c r="GP767" s="1854" t="str">
        <f t="shared" ref="GP767:GP804" si="179">IF(AND($C767="Efficiency", $N767="1-Story",NOT($P767="Yes")),$E767,"")</f>
        <v/>
      </c>
      <c r="GQ767" s="1854" t="str">
        <f t="shared" ref="GQ767:GQ804" si="180">IF(AND($C767=1, $N767="1-Story",NOT($P767="Yes")),$E767,"")</f>
        <v/>
      </c>
      <c r="GR767" s="1854" t="str">
        <f t="shared" ref="GR767:GR804" si="181">IF(AND($C767=2, $N767="1-Story",NOT($P767="Yes")),$E767,"")</f>
        <v/>
      </c>
      <c r="GS767" s="1854" t="str">
        <f t="shared" ref="GS767:GS804" si="182">IF(AND($C767=3, $N767="1-Story",NOT($P767="Yes")),$E767,"")</f>
        <v/>
      </c>
      <c r="GT767" s="1854" t="str">
        <f t="shared" ref="GT767:GT804" si="183">IF(AND($C767=4, $N767="1-Story",NOT($P767="Yes")),$E767,"")</f>
        <v/>
      </c>
      <c r="GU767" s="1854" t="str">
        <f t="shared" ref="GU767:GU804" si="184">IF(AND($C767="Efficiency", $N767="1-Story",$P767="Yes"),$E767,"")</f>
        <v/>
      </c>
      <c r="GV767" s="1854" t="str">
        <f t="shared" ref="GV767:GV804" si="185">IF(AND($C767=1, $N767="1-Story",$P767="Yes"),$E767,"")</f>
        <v/>
      </c>
      <c r="GW767" s="1854" t="str">
        <f t="shared" ref="GW767:GW804" si="186">IF(AND($C767=2, $N767="1-Story",$P767="Yes"),$E767,"")</f>
        <v/>
      </c>
      <c r="GX767" s="1854" t="str">
        <f t="shared" ref="GX767:GX804" si="187">IF(AND($C767=3, $N767="1-Story",$P767="Yes"),$E767,"")</f>
        <v/>
      </c>
      <c r="GY767" s="1854" t="str">
        <f t="shared" ref="GY767:GY804" si="188">IF(AND($C767=4, $N767="1-Story",$P767="Yes"),$E767,"")</f>
        <v/>
      </c>
      <c r="GZ767" s="1854" t="str">
        <f t="shared" ref="GZ767:GZ804" si="189">IF(AND($C767="Efficiency", $N767="2-Story",NOT($P767="Yes")),$E767,"")</f>
        <v/>
      </c>
      <c r="HA767" s="1854" t="str">
        <f t="shared" ref="HA767:HA804" si="190">IF(AND($C767=1, $N767="2-Story",NOT($P767="Yes")),$E767,"")</f>
        <v/>
      </c>
      <c r="HB767" s="1854" t="str">
        <f t="shared" ref="HB767:HB804" si="191">IF(AND($C767=2, $N767="2-Story",NOT($P767="Yes")),$E767,"")</f>
        <v/>
      </c>
      <c r="HC767" s="1854" t="str">
        <f t="shared" ref="HC767:HC804" si="192">IF(AND($C767=3, $N767="2-Story",NOT($P767="Yes")),$E767,"")</f>
        <v/>
      </c>
      <c r="HD767" s="1854" t="str">
        <f t="shared" ref="HD767:HD804" si="193">IF(AND($C767=4, $N767="2-Story",NOT($P767="Yes")),$E767,"")</f>
        <v/>
      </c>
      <c r="HE767" s="1854" t="str">
        <f t="shared" ref="HE767:HE804" si="194">IF(AND($C767="Efficiency", $N767="2-Story",$P767="Yes"),$E767,"")</f>
        <v/>
      </c>
      <c r="HF767" s="1854" t="str">
        <f t="shared" ref="HF767:HF804" si="195">IF(AND($C767=1, $N767="2-Story",$P767="Yes"),$E767,"")</f>
        <v/>
      </c>
      <c r="HG767" s="1854" t="str">
        <f t="shared" ref="HG767:HG804" si="196">IF(AND($C767=2, $N767="2-Story",$P767="Yes"),$E767,"")</f>
        <v/>
      </c>
      <c r="HH767" s="1854" t="str">
        <f t="shared" ref="HH767:HH804" si="197">IF(AND($C767=3, $N767="2-Story",$P767="Yes"),$E767,"")</f>
        <v/>
      </c>
      <c r="HI767" s="1854" t="str">
        <f t="shared" ref="HI767:HI804" si="198">IF(AND($C767=4, $N767="2-Story",$P767="Yes"),$E767,"")</f>
        <v/>
      </c>
      <c r="HJ767" s="1854" t="str">
        <f t="shared" ref="HJ767:HJ804" si="199">IF(AND($C767="Efficiency", $N767="2-Story Walkup",NOT($P767="Yes")),$E767,"")</f>
        <v/>
      </c>
      <c r="HK767" s="1854" t="str">
        <f t="shared" ref="HK767:HK804" si="200">IF(AND($C767=1, $N767="2-Story Walkup",NOT($P767="Yes")),$E767,"")</f>
        <v/>
      </c>
      <c r="HL767" s="1854" t="str">
        <f t="shared" ref="HL767:HL804" si="201">IF(AND($C767=2, $N767="2-Story Walkup",NOT($P767="Yes")),$E767,"")</f>
        <v/>
      </c>
      <c r="HM767" s="1854" t="str">
        <f t="shared" ref="HM767:HM804" si="202">IF(AND($C767=3, $N767="2-Story Walkup",NOT($P767="Yes")),$E767,"")</f>
        <v/>
      </c>
      <c r="HN767" s="1854" t="str">
        <f t="shared" ref="HN767:HN804" si="203">IF(AND($C767=4, $N767="2-Story Walkup",NOT($P767="Yes")),$E767,"")</f>
        <v/>
      </c>
      <c r="HO767" s="1854" t="str">
        <f t="shared" ref="HO767:HO804" si="204">IF(AND($C767="Efficiency", $N767="2-Story Walkup",$P767="Yes"),$E767,"")</f>
        <v/>
      </c>
      <c r="HP767" s="1854" t="str">
        <f t="shared" ref="HP767:HP804" si="205">IF(AND($C767=1, $N767="2-Story Walkup",$P767="Yes"),$E767,"")</f>
        <v/>
      </c>
      <c r="HQ767" s="1854" t="str">
        <f t="shared" ref="HQ767:HQ804" si="206">IF(AND($C767=2, $N767="2-Story Walkup",$P767="Yes"),$E767,"")</f>
        <v/>
      </c>
      <c r="HR767" s="1854" t="str">
        <f t="shared" ref="HR767:HR804" si="207">IF(AND($C767=3, $N767="2-Story Walkup",$P767="Yes"),$E767,"")</f>
        <v/>
      </c>
      <c r="HS767" s="1854" t="str">
        <f t="shared" ref="HS767:HS804" si="208">IF(AND($C767=4, $N767="2-Story Walkup",$P767="Yes"),$E767,"")</f>
        <v/>
      </c>
      <c r="HT767" s="1854" t="str">
        <f t="shared" ref="HT767:HT804" si="209">IF(AND($C767="Efficiency", $N767="3+ Story",NOT($P767="Yes")),$E767,"")</f>
        <v/>
      </c>
      <c r="HU767" s="1854" t="str">
        <f t="shared" ref="HU767:HU804" si="210">IF(AND($C767=1, $N767="3+ Story",NOT($P767="Yes")),$E767,"")</f>
        <v/>
      </c>
      <c r="HV767" s="1854" t="str">
        <f t="shared" ref="HV767:HV804" si="211">IF(AND($C767=2, $N767="3+ Story",NOT($P767="Yes")),$E767,"")</f>
        <v/>
      </c>
      <c r="HW767" s="1854" t="str">
        <f t="shared" ref="HW767:HW804" si="212">IF(AND($C767=3, $N767="3+ Story",NOT($P767="Yes")),$E767,"")</f>
        <v/>
      </c>
      <c r="HX767" s="1854" t="str">
        <f t="shared" ref="HX767:HX804" si="213">IF(AND($C767=4, $N767="3+ Story",NOT($P767="Yes")),$E767,"")</f>
        <v/>
      </c>
      <c r="HY767" s="1854" t="str">
        <f t="shared" ref="HY767:HY804" si="214">IF(AND($C767="Efficiency", $N767="3+ Story",$P767="Yes"),$E767,"")</f>
        <v/>
      </c>
      <c r="HZ767" s="1854" t="str">
        <f t="shared" ref="HZ767:HZ804" si="215">IF(AND($C767=1, $N767="3+ Story",$P767="Yes"),$E767,"")</f>
        <v/>
      </c>
      <c r="IA767" s="1854" t="str">
        <f t="shared" ref="IA767:IA804" si="216">IF(AND($C767=2, $N767="3+ Story",$P767="Yes"),$E767,"")</f>
        <v/>
      </c>
      <c r="IB767" s="1854" t="str">
        <f t="shared" ref="IB767:IB804" si="217">IF(AND($C767=3, $N767="3+ Story",$P767="Yes"),$E767,"")</f>
        <v/>
      </c>
      <c r="IC767" s="1854" t="str">
        <f t="shared" ref="IC767:IC804" si="218">IF(AND($C767=4, $N767="3+ Story",$P767="Yes"),$E767,"")</f>
        <v/>
      </c>
      <c r="ID767" s="1826" t="str">
        <f t="shared" ref="ID767:ID804" si="219">IF(AND($B767="NSP 120% AMI",$C767="Efficiency", NOT($M767="Common Space")),$E767,"")</f>
        <v/>
      </c>
      <c r="IE767" s="1826" t="str">
        <f t="shared" ref="IE767:IE804" si="220">IF(AND($B767="NSP 120% AMI",$C767=1,NOT($M767="Common Space")),$E767,"")</f>
        <v/>
      </c>
      <c r="IF767" s="1826" t="str">
        <f t="shared" ref="IF767:IF804" si="221">IF(AND($B767="NSP 120% AMI",$C767=2,NOT($M767="Common Space")),$E767,"")</f>
        <v/>
      </c>
      <c r="IG767" s="1826" t="str">
        <f t="shared" ref="IG767:IG804" si="222">IF(AND($B767="NSP 120% AMI",$C767=3,NOT($M767="Common Space")),$E767,"")</f>
        <v/>
      </c>
      <c r="IH767" s="1826" t="str">
        <f t="shared" ref="IH767:IH804" si="223">IF(AND($B767="NSP 120% AMI",$C767=4,NOT($M767="Common Space")),$E767,"")</f>
        <v/>
      </c>
      <c r="II767" s="683" t="str">
        <f t="shared" ref="II767:II804" si="224">IF(AND(C767="Efficiency",B767="NSP 120% AMI",NOT(M767="Common Space")),E767*F767,"")</f>
        <v/>
      </c>
      <c r="IJ767" s="683" t="str">
        <f t="shared" ref="IJ767:IJ804" si="225">IF(AND(C767=1,B767="NSP 120% AMI",NOT(M767="Common Space")),E767*F767,"")</f>
        <v/>
      </c>
      <c r="IK767" s="683" t="str">
        <f t="shared" ref="IK767:IK804" si="226">IF(AND(C767=2,B767="NSP 120% AMI",NOT(M767="Common Space")),E767*F767,"")</f>
        <v/>
      </c>
      <c r="IL767" s="683" t="str">
        <f t="shared" ref="IL767:IL804" si="227">IF(AND(C767=3,B767="NSP 120% AMI",NOT(M767="Common Space")),E767*F767,"")</f>
        <v/>
      </c>
      <c r="IM767" s="683" t="str">
        <f t="shared" ref="IM767:IM804" si="228">IF(AND(C767=4,B767="NSP 120% AMI",NOT(M767="Common Space")),E767*F767,"")</f>
        <v/>
      </c>
      <c r="IN767" s="683" t="str">
        <f t="shared" ref="IN767:IN804" si="229">IF(AND($C767="Efficiency", $O767="New Construction",$B767="NSP 120% AMI",NOT($M767="Common Space")),$E767,"")</f>
        <v/>
      </c>
      <c r="IO767" s="683" t="str">
        <f t="shared" ref="IO767:IO804" si="230">IF(AND($C767=1, $O767="New Construction",$B767="NSP 120% AMI",NOT($M767="Common Space")),$E767,"")</f>
        <v/>
      </c>
      <c r="IP767" s="683" t="str">
        <f t="shared" ref="IP767:IP804" si="231">IF(AND($C767=2, $O767="New Construction",$B767="NSP 120% AMI",NOT($M767="Common Space")),$E767,"")</f>
        <v/>
      </c>
      <c r="IQ767" s="683" t="str">
        <f t="shared" ref="IQ767:IQ804" si="232">IF(AND($C767=3, $O767="New Construction",$B767="NSP 120% AMI",NOT($M767="Common Space")),$E767,"")</f>
        <v/>
      </c>
      <c r="IR767" s="683" t="str">
        <f t="shared" ref="IR767:IR804" si="233">IF(AND($C767=4, $O767="New Construction",$B767="NSP 120% AMI",NOT($M767="Common Space")),$E767,"")</f>
        <v/>
      </c>
      <c r="IS767" s="683" t="str">
        <f t="shared" ref="IS767:IS804" si="234">IF(AND($C767="Efficiency", $O767="Acquisition/Rehab",$B767="NSP 120% AMI",NOT($M767="Common Space")),$E767,"")</f>
        <v/>
      </c>
      <c r="IT767" s="683" t="str">
        <f t="shared" ref="IT767:IT804" si="235">IF(AND($C767=1, $O767="Acquisition/Rehab",$B767="NSP 120% AMI",NOT($M767="Common Space")),$E767,"")</f>
        <v/>
      </c>
      <c r="IU767" s="683" t="str">
        <f t="shared" ref="IU767:IU804" si="236">IF(AND($C767=2, $O767="Acquisition/Rehab",$B767="NSP 120% AMI",NOT($M767="Common Space")),$E767,"")</f>
        <v/>
      </c>
      <c r="IV767" s="683" t="str">
        <f t="shared" ref="IV767:IV804" si="237">IF(AND($C767=3, $O767="Acquisition/Rehab",$B767="NSP 120% AMI",NOT($M767="Common Space")),$E767,"")</f>
        <v/>
      </c>
      <c r="IW767" s="683" t="str">
        <f t="shared" ref="IW767:IW804" si="238">IF(AND($C767=4, $O767="Acquisition/Rehab",$B767="NSP 120% AMI",NOT($M767="Common Space")),$E767,"")</f>
        <v/>
      </c>
      <c r="IX767" s="683" t="str">
        <f t="shared" ref="IX767:IX804" si="239">IF(AND($C767="Efficiency", $O767="Rehabilitation",$B767="NSP 120% AMI",NOT($M767="Common Space")),$E767,"")</f>
        <v/>
      </c>
      <c r="IY767" s="683" t="str">
        <f t="shared" ref="IY767:IY804" si="240">IF(AND($C767=1, $O767="Rehabilitation",$B767="NSP 120% AMI",NOT($M767="Common Space")),$E767,"")</f>
        <v/>
      </c>
      <c r="IZ767" s="683" t="str">
        <f t="shared" ref="IZ767:IZ804" si="241">IF(AND($C767=2, $O767="Rehabilitation",$B767="NSP 120% AMI",NOT($M767="Common Space")),$E767,"")</f>
        <v/>
      </c>
      <c r="JA767" s="683" t="str">
        <f t="shared" ref="JA767:JA804" si="242">IF(AND($C767=3, $O767="Rehabilitation",$B767="NSP 120% AMI",NOT($M767="Common Space")),$E767,"")</f>
        <v/>
      </c>
      <c r="JB767" s="683" t="str">
        <f t="shared" ref="JB767:JB804" si="243">IF(AND($C767=4, $O767="Rehabilitation",$B767="NSP 120% AMI",NOT($M767="Common Space")),$E767,"")</f>
        <v/>
      </c>
      <c r="JC767" s="1824">
        <f>IF(AND($C767="Efficiency",$E767&gt;0,OR($N767="1-Story",$N767="2-Story",$N767="3+ Story",$N767="2-Story Walkup",$N767="Townhome"),OR($O767="Acquisition/Rehab",$O767="Rehabilitation"),NOT($P767="Yes")),$E767,0)</f>
        <v>0</v>
      </c>
      <c r="JD767" s="1824">
        <f>IF(AND($C767=1,$E767&gt;0,OR($N767="1-Story",$N767="2-Story",$N767="3+ Story",$N767="2-Story Walkup",$N767="Townhome"),OR($O767="Acquisition/Rehab",$O767="Rehabilitation"),NOT($P767="Yes")),$E767,0)</f>
        <v>0</v>
      </c>
      <c r="JE767" s="1824">
        <f>IF(AND($C767=2,$E767&gt;0,OR($N767="1-Story",$N767="2-Story",$N767="3+ Story",$N767="2-Story Walkup",$N767="Townhome"),OR($O767="Acquisition/Rehab",$O767="Rehabilitation"),NOT($P767="Yes")),$E767,0)</f>
        <v>0</v>
      </c>
      <c r="JF767" s="1824">
        <f>IF(AND($C767=3,$E767&gt;0,OR($N767="1-Story",$N767="2-Story",$N767="3+ Story",$N767="2-Story Walkup",$N767="Townhome"),OR($O767="Acquisition/Rehab",$O767="Rehabilitation"),NOT($P767="Yes")),$E767,0)</f>
        <v>0</v>
      </c>
      <c r="JG767" s="1824">
        <f>IF(AND($C767=4,$E767&gt;0,OR($N767="1-Story",$N767="2-Story",$N767="3+ Story",$N767="2-Story Walkup",$N767="Townhome"),OR($O767="Acquisition/Rehab",$O767="Rehabilitation"),NOT($P767="Yes")),$E767,0)</f>
        <v>0</v>
      </c>
      <c r="JH767" s="1824">
        <f>IF(AND($C767="Efficiency",$E767&gt;0,OR($N767="1-Story",$N767="2-Story",$N767="3+ Story",$N767="2-Story Walkup",$N767="Townhome"),$O767="New Construction"),$E767,0)</f>
        <v>0</v>
      </c>
      <c r="JI767" s="1824">
        <f>IF(AND($C767=1,$E767&gt;0,OR($N767="1-Story",$N767="2-Story",$N767="3+ Story",$N767="2-Story Walkup",$N767="Townhome"),$O767="New Construction"),$E767,0)</f>
        <v>0</v>
      </c>
      <c r="JJ767" s="1824">
        <f>IF(AND($C767=2,$E767&gt;0,OR($N767="1-Story",$N767="2-Story",$N767="3+ Story",$N767="2-Story Walkup",$N767="Townhome"),$O767="New Construction"),$E767,0)</f>
        <v>0</v>
      </c>
      <c r="JK767" s="1824">
        <f>IF(AND($C767=3,$E767&gt;0,OR($N767="1-Story",$N767="2-Story",$N767="3+ Story",$N767="2-Story Walkup",$N767="Townhome"),$O767="New Construction"),$E767,0)</f>
        <v>0</v>
      </c>
      <c r="JL767" s="1824">
        <f>IF(AND($C767=4,$E767&gt;0,OR($N767="1-Story",$N767="2-Story",$N767="3+ Story",$N767="2-Story Walkup",$N767="Townhome"),$O767="New Construction"),$E767,0)</f>
        <v>0</v>
      </c>
      <c r="JM767" s="1824">
        <f>IF(AND($C767="Efficiency",$E767&gt;0,OR($N767="SF Detached",$N767="Duplex",$N767="Mfd Home"),NOT($P767="Yes")),$E767,0)</f>
        <v>0</v>
      </c>
      <c r="JN767" s="1824">
        <f>IF(AND($C767=1,$E767&gt;0,OR($N767="SF Detached",$N767="Duplex",$N767="Mfd Home"),NOT($P767="Yes")),$E767,0)</f>
        <v>0</v>
      </c>
      <c r="JO767" s="1824">
        <f>IF(AND($C767=2,$E767&gt;0,OR($N767="SF Detached",$N767="Duplex",$N767="Mfd Home"),NOT($P767="Yes")),$E767,0)</f>
        <v>14</v>
      </c>
      <c r="JP767" s="1824">
        <f>IF(AND($C767=3,$E767&gt;0,OR($N767="SF Detached",$N767="Duplex",$N767="Mfd Home"),NOT($P767="Yes")),$E767,0)</f>
        <v>0</v>
      </c>
      <c r="JQ767" s="1824">
        <f>IF(AND($C767=4,$E767&gt;0,OR($N767="SF Detached",$N767="Duplex",$N767="Mfd Home"),NOT($P767="Yes")),$E767,0)</f>
        <v>0</v>
      </c>
    </row>
    <row r="768" spans="1:277" ht="12" customHeight="1">
      <c r="A768" s="1837" t="str">
        <f t="shared" si="1"/>
        <v/>
      </c>
      <c r="B768" s="1846" t="str">
        <f>'Part VI-Revenues &amp; Expenses'!B11</f>
        <v>50% AMI</v>
      </c>
      <c r="C768" s="1847">
        <f>'Part VI-Revenues &amp; Expenses'!C11</f>
        <v>2</v>
      </c>
      <c r="D768" s="1848">
        <f>'Part VI-Revenues &amp; Expenses'!D11</f>
        <v>2.5</v>
      </c>
      <c r="E768" s="1849">
        <f>'Part VI-Revenues &amp; Expenses'!E11</f>
        <v>10</v>
      </c>
      <c r="F768" s="1849">
        <f>'Part VI-Revenues &amp; Expenses'!F11</f>
        <v>1250</v>
      </c>
      <c r="G768" s="1849">
        <f>'Part VI-Revenues &amp; Expenses'!G11</f>
        <v>558</v>
      </c>
      <c r="H768" s="1849">
        <f>'Part VI-Revenues &amp; Expenses'!H11</f>
        <v>777</v>
      </c>
      <c r="I768" s="1849">
        <f>'Part VI-Revenues &amp; Expenses'!I11</f>
        <v>147</v>
      </c>
      <c r="J768" s="1850" t="str">
        <f>'Part VI-Revenues &amp; Expenses'!J11</f>
        <v>PHA PBRA</v>
      </c>
      <c r="K768" s="1851">
        <f t="shared" si="2"/>
        <v>630</v>
      </c>
      <c r="L768" s="1851">
        <f t="shared" si="3"/>
        <v>6300</v>
      </c>
      <c r="M768" s="1725" t="str">
        <f>'Part VI-Revenues &amp; Expenses'!M11</f>
        <v>No</v>
      </c>
      <c r="N768" s="1725" t="str">
        <f>'Part VI-Revenues &amp; Expenses'!N11</f>
        <v>Duplex</v>
      </c>
      <c r="O768" s="1725" t="str">
        <f>'Part VI-Revenues &amp; Expenses'!O11</f>
        <v>New Construction</v>
      </c>
      <c r="P768" s="1831" t="str">
        <f>'Part VI-Revenues &amp; Expenses'!P11</f>
        <v>No</v>
      </c>
      <c r="Q768" s="1852">
        <f>'Part VI-Revenues &amp; Expenses'!Q11</f>
        <v>31080</v>
      </c>
      <c r="R768" s="1853">
        <f>'Part VI-Revenues &amp; Expenses'!R11</f>
        <v>0.69623655913978499</v>
      </c>
      <c r="S768" s="1852">
        <f>'Part VI-Revenues &amp; Expenses'!S11</f>
        <v>0</v>
      </c>
      <c r="T768" s="1853">
        <f>'Part VI-Revenues &amp; Expenses'!T11</f>
        <v>0</v>
      </c>
      <c r="U768" s="1775"/>
      <c r="V768" s="1775"/>
      <c r="W768" s="683" t="str">
        <f t="shared" si="4"/>
        <v/>
      </c>
      <c r="X768" s="683" t="str">
        <f t="shared" si="5"/>
        <v/>
      </c>
      <c r="Y768" s="683" t="str">
        <f t="shared" si="6"/>
        <v/>
      </c>
      <c r="Z768" s="683" t="str">
        <f t="shared" si="7"/>
        <v/>
      </c>
      <c r="AA768" s="683" t="str">
        <f t="shared" si="8"/>
        <v/>
      </c>
      <c r="AB768" s="683" t="str">
        <f t="shared" si="9"/>
        <v/>
      </c>
      <c r="AC768" s="683" t="str">
        <f t="shared" si="10"/>
        <v/>
      </c>
      <c r="AD768" s="683">
        <f t="shared" si="11"/>
        <v>10</v>
      </c>
      <c r="AE768" s="683" t="str">
        <f t="shared" si="12"/>
        <v/>
      </c>
      <c r="AF768" s="683" t="str">
        <f t="shared" si="13"/>
        <v/>
      </c>
      <c r="AG768" s="683" t="str">
        <f t="shared" si="14"/>
        <v/>
      </c>
      <c r="AH768" s="683" t="str">
        <f t="shared" si="15"/>
        <v/>
      </c>
      <c r="AI768" s="683" t="str">
        <f t="shared" si="16"/>
        <v/>
      </c>
      <c r="AJ768" s="683" t="str">
        <f t="shared" si="17"/>
        <v/>
      </c>
      <c r="AK768" s="683" t="str">
        <f t="shared" si="18"/>
        <v/>
      </c>
      <c r="AL768" s="683" t="str">
        <f t="shared" si="19"/>
        <v/>
      </c>
      <c r="AM768" s="683" t="str">
        <f t="shared" si="20"/>
        <v/>
      </c>
      <c r="AN768" s="683" t="str">
        <f t="shared" si="21"/>
        <v/>
      </c>
      <c r="AO768" s="683" t="str">
        <f t="shared" si="22"/>
        <v/>
      </c>
      <c r="AP768" s="683" t="str">
        <f t="shared" si="23"/>
        <v/>
      </c>
      <c r="AQ768" s="683" t="str">
        <f t="shared" si="24"/>
        <v/>
      </c>
      <c r="AR768" s="683" t="str">
        <f t="shared" si="25"/>
        <v/>
      </c>
      <c r="AS768" s="683" t="str">
        <f t="shared" si="26"/>
        <v/>
      </c>
      <c r="AT768" s="683" t="str">
        <f t="shared" si="27"/>
        <v/>
      </c>
      <c r="AU768" s="683" t="str">
        <f t="shared" si="28"/>
        <v/>
      </c>
      <c r="AV768" s="683" t="str">
        <f t="shared" si="29"/>
        <v/>
      </c>
      <c r="AW768" s="683" t="str">
        <f t="shared" si="30"/>
        <v/>
      </c>
      <c r="AX768" s="683">
        <f t="shared" si="31"/>
        <v>10</v>
      </c>
      <c r="AY768" s="683" t="str">
        <f t="shared" si="32"/>
        <v/>
      </c>
      <c r="AZ768" s="683" t="str">
        <f t="shared" si="33"/>
        <v/>
      </c>
      <c r="BA768" s="683" t="str">
        <f t="shared" si="34"/>
        <v/>
      </c>
      <c r="BB768" s="683" t="str">
        <f t="shared" si="35"/>
        <v/>
      </c>
      <c r="BC768" s="683" t="str">
        <f t="shared" si="36"/>
        <v/>
      </c>
      <c r="BD768" s="683" t="str">
        <f t="shared" si="37"/>
        <v/>
      </c>
      <c r="BE768" s="683" t="str">
        <f t="shared" si="38"/>
        <v/>
      </c>
      <c r="BF768" s="683" t="str">
        <f t="shared" si="39"/>
        <v/>
      </c>
      <c r="BG768" s="683" t="str">
        <f t="shared" si="40"/>
        <v/>
      </c>
      <c r="BH768" s="683" t="str">
        <f t="shared" si="41"/>
        <v/>
      </c>
      <c r="BI768" s="683" t="str">
        <f t="shared" si="42"/>
        <v/>
      </c>
      <c r="BJ768" s="683" t="str">
        <f t="shared" si="43"/>
        <v/>
      </c>
      <c r="BK768" s="683" t="str">
        <f t="shared" si="44"/>
        <v/>
      </c>
      <c r="BL768" s="683" t="str">
        <f t="shared" si="45"/>
        <v/>
      </c>
      <c r="BM768" s="683" t="str">
        <f t="shared" si="46"/>
        <v/>
      </c>
      <c r="BN768" s="683" t="str">
        <f t="shared" si="47"/>
        <v/>
      </c>
      <c r="BO768" s="683" t="str">
        <f t="shared" si="48"/>
        <v/>
      </c>
      <c r="BP768" s="683" t="str">
        <f t="shared" si="49"/>
        <v/>
      </c>
      <c r="BQ768" s="683" t="str">
        <f t="shared" si="50"/>
        <v/>
      </c>
      <c r="BR768" s="683" t="str">
        <f t="shared" si="51"/>
        <v/>
      </c>
      <c r="BS768" s="683" t="str">
        <f t="shared" si="52"/>
        <v/>
      </c>
      <c r="BT768" s="683" t="str">
        <f t="shared" si="53"/>
        <v/>
      </c>
      <c r="BU768" s="683" t="str">
        <f t="shared" si="54"/>
        <v/>
      </c>
      <c r="BV768" s="683" t="str">
        <f t="shared" si="55"/>
        <v/>
      </c>
      <c r="BW768" s="683" t="str">
        <f t="shared" si="56"/>
        <v/>
      </c>
      <c r="BX768" s="683" t="str">
        <f t="shared" si="57"/>
        <v/>
      </c>
      <c r="BY768" s="683" t="str">
        <f t="shared" si="58"/>
        <v/>
      </c>
      <c r="BZ768" s="683" t="str">
        <f t="shared" si="59"/>
        <v/>
      </c>
      <c r="CA768" s="683" t="str">
        <f t="shared" si="60"/>
        <v/>
      </c>
      <c r="CB768" s="683" t="str">
        <f t="shared" si="61"/>
        <v/>
      </c>
      <c r="CC768" s="683" t="str">
        <f t="shared" si="62"/>
        <v/>
      </c>
      <c r="CD768" s="683" t="str">
        <f t="shared" si="63"/>
        <v/>
      </c>
      <c r="CE768" s="683" t="str">
        <f t="shared" si="64"/>
        <v/>
      </c>
      <c r="CF768" s="683" t="str">
        <f t="shared" si="65"/>
        <v/>
      </c>
      <c r="CG768" s="683">
        <f t="shared" si="66"/>
        <v>12500</v>
      </c>
      <c r="CH768" s="683" t="str">
        <f t="shared" si="67"/>
        <v/>
      </c>
      <c r="CI768" s="683" t="str">
        <f t="shared" si="68"/>
        <v/>
      </c>
      <c r="CJ768" s="683" t="str">
        <f t="shared" si="69"/>
        <v/>
      </c>
      <c r="CK768" s="683" t="str">
        <f t="shared" si="70"/>
        <v/>
      </c>
      <c r="CL768" s="683" t="str">
        <f t="shared" si="71"/>
        <v/>
      </c>
      <c r="CM768" s="683" t="str">
        <f t="shared" si="72"/>
        <v/>
      </c>
      <c r="CN768" s="683" t="str">
        <f t="shared" si="73"/>
        <v/>
      </c>
      <c r="CO768" s="683" t="str">
        <f t="shared" si="74"/>
        <v/>
      </c>
      <c r="CP768" s="683" t="str">
        <f t="shared" si="75"/>
        <v/>
      </c>
      <c r="CQ768" s="683" t="str">
        <f t="shared" si="76"/>
        <v/>
      </c>
      <c r="CR768" s="683" t="str">
        <f t="shared" si="77"/>
        <v/>
      </c>
      <c r="CS768" s="683" t="str">
        <f t="shared" si="78"/>
        <v/>
      </c>
      <c r="CT768" s="683" t="str">
        <f t="shared" si="79"/>
        <v/>
      </c>
      <c r="CU768" s="683" t="str">
        <f t="shared" si="80"/>
        <v/>
      </c>
      <c r="CV768" s="683">
        <f t="shared" si="81"/>
        <v>12500</v>
      </c>
      <c r="CW768" s="683" t="str">
        <f t="shared" si="82"/>
        <v/>
      </c>
      <c r="CX768" s="683" t="str">
        <f t="shared" si="83"/>
        <v/>
      </c>
      <c r="CY768" s="683" t="str">
        <f t="shared" si="84"/>
        <v/>
      </c>
      <c r="CZ768" s="683" t="str">
        <f t="shared" si="85"/>
        <v/>
      </c>
      <c r="DA768" s="683" t="str">
        <f t="shared" si="86"/>
        <v/>
      </c>
      <c r="DB768" s="683" t="str">
        <f t="shared" si="87"/>
        <v/>
      </c>
      <c r="DC768" s="683" t="str">
        <f t="shared" si="88"/>
        <v/>
      </c>
      <c r="DD768" s="683" t="str">
        <f t="shared" si="89"/>
        <v/>
      </c>
      <c r="DE768" s="683" t="str">
        <f t="shared" si="90"/>
        <v/>
      </c>
      <c r="DF768" s="683">
        <f t="shared" si="91"/>
        <v>10</v>
      </c>
      <c r="DG768" s="683" t="str">
        <f t="shared" si="92"/>
        <v/>
      </c>
      <c r="DH768" s="683" t="str">
        <f t="shared" si="93"/>
        <v/>
      </c>
      <c r="DI768" s="683" t="str">
        <f t="shared" si="94"/>
        <v/>
      </c>
      <c r="DJ768" s="683" t="str">
        <f t="shared" si="95"/>
        <v/>
      </c>
      <c r="DK768" s="683" t="str">
        <f t="shared" si="96"/>
        <v/>
      </c>
      <c r="DL768" s="683" t="str">
        <f t="shared" si="97"/>
        <v/>
      </c>
      <c r="DM768" s="683" t="str">
        <f t="shared" si="98"/>
        <v/>
      </c>
      <c r="DN768" s="683" t="str">
        <f t="shared" si="99"/>
        <v/>
      </c>
      <c r="DO768" s="683" t="str">
        <f t="shared" si="100"/>
        <v/>
      </c>
      <c r="DP768" s="683" t="str">
        <f t="shared" si="101"/>
        <v/>
      </c>
      <c r="DQ768" s="683" t="str">
        <f t="shared" si="102"/>
        <v/>
      </c>
      <c r="DR768" s="683" t="str">
        <f t="shared" si="103"/>
        <v/>
      </c>
      <c r="DS768" s="683" t="str">
        <f t="shared" si="104"/>
        <v/>
      </c>
      <c r="DT768" s="683" t="str">
        <f t="shared" si="105"/>
        <v/>
      </c>
      <c r="DU768" s="683" t="str">
        <f t="shared" si="106"/>
        <v/>
      </c>
      <c r="DV768" s="683" t="str">
        <f t="shared" si="107"/>
        <v/>
      </c>
      <c r="DW768" s="683" t="str">
        <f t="shared" si="108"/>
        <v/>
      </c>
      <c r="DX768" s="683" t="str">
        <f t="shared" si="109"/>
        <v/>
      </c>
      <c r="DY768" s="683" t="str">
        <f t="shared" si="110"/>
        <v/>
      </c>
      <c r="DZ768" s="683" t="str">
        <f t="shared" si="111"/>
        <v/>
      </c>
      <c r="EA768" s="683" t="str">
        <f t="shared" si="112"/>
        <v/>
      </c>
      <c r="EB768" s="683" t="str">
        <f t="shared" si="113"/>
        <v/>
      </c>
      <c r="EC768" s="683" t="str">
        <f t="shared" si="114"/>
        <v/>
      </c>
      <c r="ED768" s="683" t="str">
        <f t="shared" si="115"/>
        <v/>
      </c>
      <c r="EE768" s="683" t="str">
        <f t="shared" si="116"/>
        <v/>
      </c>
      <c r="EF768" s="683" t="str">
        <f t="shared" si="117"/>
        <v/>
      </c>
      <c r="EG768" s="683" t="str">
        <f t="shared" si="118"/>
        <v/>
      </c>
      <c r="EH768" s="683" t="str">
        <f t="shared" si="119"/>
        <v/>
      </c>
      <c r="EI768" s="683" t="str">
        <f t="shared" si="120"/>
        <v/>
      </c>
      <c r="EJ768" s="683" t="str">
        <f t="shared" si="121"/>
        <v/>
      </c>
      <c r="EK768" s="683" t="str">
        <f t="shared" si="122"/>
        <v/>
      </c>
      <c r="EL768" s="683" t="str">
        <f t="shared" si="123"/>
        <v/>
      </c>
      <c r="EM768" s="683" t="str">
        <f t="shared" si="124"/>
        <v/>
      </c>
      <c r="EN768" s="683" t="str">
        <f t="shared" si="125"/>
        <v/>
      </c>
      <c r="EO768" s="683" t="str">
        <f t="shared" si="126"/>
        <v/>
      </c>
      <c r="EP768" s="683" t="str">
        <f t="shared" si="127"/>
        <v/>
      </c>
      <c r="EQ768" s="683" t="str">
        <f t="shared" si="128"/>
        <v/>
      </c>
      <c r="ER768" s="683" t="str">
        <f t="shared" si="129"/>
        <v/>
      </c>
      <c r="ES768" s="683" t="str">
        <f t="shared" si="130"/>
        <v/>
      </c>
      <c r="ET768" s="683" t="str">
        <f t="shared" si="131"/>
        <v/>
      </c>
      <c r="EU768" s="683" t="str">
        <f t="shared" si="132"/>
        <v/>
      </c>
      <c r="EV768" s="683" t="str">
        <f t="shared" si="133"/>
        <v/>
      </c>
      <c r="EW768" s="1854" t="str">
        <f t="shared" si="134"/>
        <v/>
      </c>
      <c r="EX768" s="1854" t="str">
        <f t="shared" si="135"/>
        <v/>
      </c>
      <c r="EY768" s="1854" t="str">
        <f t="shared" si="136"/>
        <v/>
      </c>
      <c r="EZ768" s="1854" t="str">
        <f t="shared" si="137"/>
        <v/>
      </c>
      <c r="FA768" s="1854" t="str">
        <f t="shared" si="138"/>
        <v/>
      </c>
      <c r="FB768" s="1854" t="str">
        <f t="shared" si="139"/>
        <v/>
      </c>
      <c r="FC768" s="1854" t="str">
        <f t="shared" si="140"/>
        <v/>
      </c>
      <c r="FD768" s="1854" t="str">
        <f t="shared" si="141"/>
        <v/>
      </c>
      <c r="FE768" s="1854" t="str">
        <f t="shared" si="142"/>
        <v/>
      </c>
      <c r="FF768" s="1854" t="str">
        <f t="shared" si="143"/>
        <v/>
      </c>
      <c r="FG768" s="1854" t="str">
        <f t="shared" si="144"/>
        <v/>
      </c>
      <c r="FH768" s="1854" t="str">
        <f t="shared" si="145"/>
        <v/>
      </c>
      <c r="FI768" s="1854" t="str">
        <f t="shared" si="146"/>
        <v/>
      </c>
      <c r="FJ768" s="1854" t="str">
        <f t="shared" si="147"/>
        <v/>
      </c>
      <c r="FK768" s="1854" t="str">
        <f t="shared" si="148"/>
        <v/>
      </c>
      <c r="FL768" s="1854" t="str">
        <f t="shared" si="149"/>
        <v/>
      </c>
      <c r="FM768" s="1854" t="str">
        <f t="shared" si="150"/>
        <v/>
      </c>
      <c r="FN768" s="1854" t="str">
        <f t="shared" si="151"/>
        <v/>
      </c>
      <c r="FO768" s="1854" t="str">
        <f t="shared" si="152"/>
        <v/>
      </c>
      <c r="FP768" s="1854" t="str">
        <f t="shared" si="153"/>
        <v/>
      </c>
      <c r="FQ768" s="1854" t="str">
        <f t="shared" si="154"/>
        <v/>
      </c>
      <c r="FR768" s="1854" t="str">
        <f t="shared" si="155"/>
        <v/>
      </c>
      <c r="FS768" s="1854" t="str">
        <f t="shared" si="156"/>
        <v/>
      </c>
      <c r="FT768" s="1854" t="str">
        <f t="shared" si="157"/>
        <v/>
      </c>
      <c r="FU768" s="1854" t="str">
        <f t="shared" si="158"/>
        <v/>
      </c>
      <c r="FV768" s="1854" t="str">
        <f t="shared" si="159"/>
        <v/>
      </c>
      <c r="FW768" s="1854" t="str">
        <f t="shared" si="160"/>
        <v/>
      </c>
      <c r="FX768" s="1854">
        <f t="shared" si="161"/>
        <v>10</v>
      </c>
      <c r="FY768" s="1854" t="str">
        <f t="shared" si="162"/>
        <v/>
      </c>
      <c r="FZ768" s="1854" t="str">
        <f t="shared" si="163"/>
        <v/>
      </c>
      <c r="GA768" s="1854" t="str">
        <f t="shared" si="164"/>
        <v/>
      </c>
      <c r="GB768" s="1854" t="str">
        <f t="shared" si="165"/>
        <v/>
      </c>
      <c r="GC768" s="1854" t="str">
        <f t="shared" si="166"/>
        <v/>
      </c>
      <c r="GD768" s="1854" t="str">
        <f t="shared" si="167"/>
        <v/>
      </c>
      <c r="GE768" s="1854" t="str">
        <f t="shared" si="168"/>
        <v/>
      </c>
      <c r="GF768" s="1854" t="str">
        <f t="shared" si="169"/>
        <v/>
      </c>
      <c r="GG768" s="1854" t="str">
        <f t="shared" si="170"/>
        <v/>
      </c>
      <c r="GH768" s="1854" t="str">
        <f t="shared" si="171"/>
        <v/>
      </c>
      <c r="GI768" s="1854" t="str">
        <f t="shared" si="172"/>
        <v/>
      </c>
      <c r="GJ768" s="1854" t="str">
        <f t="shared" si="173"/>
        <v/>
      </c>
      <c r="GK768" s="1854" t="str">
        <f t="shared" si="174"/>
        <v/>
      </c>
      <c r="GL768" s="1854" t="str">
        <f t="shared" si="175"/>
        <v/>
      </c>
      <c r="GM768" s="1854" t="str">
        <f t="shared" si="176"/>
        <v/>
      </c>
      <c r="GN768" s="1854" t="str">
        <f t="shared" si="177"/>
        <v/>
      </c>
      <c r="GO768" s="1854" t="str">
        <f t="shared" si="178"/>
        <v/>
      </c>
      <c r="GP768" s="1854" t="str">
        <f t="shared" si="179"/>
        <v/>
      </c>
      <c r="GQ768" s="1854" t="str">
        <f t="shared" si="180"/>
        <v/>
      </c>
      <c r="GR768" s="1854" t="str">
        <f t="shared" si="181"/>
        <v/>
      </c>
      <c r="GS768" s="1854" t="str">
        <f t="shared" si="182"/>
        <v/>
      </c>
      <c r="GT768" s="1854" t="str">
        <f t="shared" si="183"/>
        <v/>
      </c>
      <c r="GU768" s="1854" t="str">
        <f t="shared" si="184"/>
        <v/>
      </c>
      <c r="GV768" s="1854" t="str">
        <f t="shared" si="185"/>
        <v/>
      </c>
      <c r="GW768" s="1854" t="str">
        <f t="shared" si="186"/>
        <v/>
      </c>
      <c r="GX768" s="1854" t="str">
        <f t="shared" si="187"/>
        <v/>
      </c>
      <c r="GY768" s="1854" t="str">
        <f t="shared" si="188"/>
        <v/>
      </c>
      <c r="GZ768" s="1854" t="str">
        <f t="shared" si="189"/>
        <v/>
      </c>
      <c r="HA768" s="1854" t="str">
        <f t="shared" si="190"/>
        <v/>
      </c>
      <c r="HB768" s="1854" t="str">
        <f t="shared" si="191"/>
        <v/>
      </c>
      <c r="HC768" s="1854" t="str">
        <f t="shared" si="192"/>
        <v/>
      </c>
      <c r="HD768" s="1854" t="str">
        <f t="shared" si="193"/>
        <v/>
      </c>
      <c r="HE768" s="1854" t="str">
        <f t="shared" si="194"/>
        <v/>
      </c>
      <c r="HF768" s="1854" t="str">
        <f t="shared" si="195"/>
        <v/>
      </c>
      <c r="HG768" s="1854" t="str">
        <f t="shared" si="196"/>
        <v/>
      </c>
      <c r="HH768" s="1854" t="str">
        <f t="shared" si="197"/>
        <v/>
      </c>
      <c r="HI768" s="1854" t="str">
        <f t="shared" si="198"/>
        <v/>
      </c>
      <c r="HJ768" s="1854" t="str">
        <f t="shared" si="199"/>
        <v/>
      </c>
      <c r="HK768" s="1854" t="str">
        <f t="shared" si="200"/>
        <v/>
      </c>
      <c r="HL768" s="1854" t="str">
        <f t="shared" si="201"/>
        <v/>
      </c>
      <c r="HM768" s="1854" t="str">
        <f t="shared" si="202"/>
        <v/>
      </c>
      <c r="HN768" s="1854" t="str">
        <f t="shared" si="203"/>
        <v/>
      </c>
      <c r="HO768" s="1854" t="str">
        <f t="shared" si="204"/>
        <v/>
      </c>
      <c r="HP768" s="1854" t="str">
        <f t="shared" si="205"/>
        <v/>
      </c>
      <c r="HQ768" s="1854" t="str">
        <f t="shared" si="206"/>
        <v/>
      </c>
      <c r="HR768" s="1854" t="str">
        <f t="shared" si="207"/>
        <v/>
      </c>
      <c r="HS768" s="1854" t="str">
        <f t="shared" si="208"/>
        <v/>
      </c>
      <c r="HT768" s="1854" t="str">
        <f t="shared" si="209"/>
        <v/>
      </c>
      <c r="HU768" s="1854" t="str">
        <f t="shared" si="210"/>
        <v/>
      </c>
      <c r="HV768" s="1854" t="str">
        <f t="shared" si="211"/>
        <v/>
      </c>
      <c r="HW768" s="1854" t="str">
        <f t="shared" si="212"/>
        <v/>
      </c>
      <c r="HX768" s="1854" t="str">
        <f t="shared" si="213"/>
        <v/>
      </c>
      <c r="HY768" s="1854" t="str">
        <f t="shared" si="214"/>
        <v/>
      </c>
      <c r="HZ768" s="1854" t="str">
        <f t="shared" si="215"/>
        <v/>
      </c>
      <c r="IA768" s="1854" t="str">
        <f t="shared" si="216"/>
        <v/>
      </c>
      <c r="IB768" s="1854" t="str">
        <f t="shared" si="217"/>
        <v/>
      </c>
      <c r="IC768" s="1854" t="str">
        <f t="shared" si="218"/>
        <v/>
      </c>
      <c r="ID768" s="1826" t="str">
        <f t="shared" si="219"/>
        <v/>
      </c>
      <c r="IE768" s="1826" t="str">
        <f t="shared" si="220"/>
        <v/>
      </c>
      <c r="IF768" s="1826" t="str">
        <f t="shared" si="221"/>
        <v/>
      </c>
      <c r="IG768" s="1826" t="str">
        <f t="shared" si="222"/>
        <v/>
      </c>
      <c r="IH768" s="1826" t="str">
        <f t="shared" si="223"/>
        <v/>
      </c>
      <c r="II768" s="683" t="str">
        <f t="shared" si="224"/>
        <v/>
      </c>
      <c r="IJ768" s="683" t="str">
        <f t="shared" si="225"/>
        <v/>
      </c>
      <c r="IK768" s="683" t="str">
        <f t="shared" si="226"/>
        <v/>
      </c>
      <c r="IL768" s="683" t="str">
        <f t="shared" si="227"/>
        <v/>
      </c>
      <c r="IM768" s="683" t="str">
        <f t="shared" si="228"/>
        <v/>
      </c>
      <c r="IN768" s="683" t="str">
        <f t="shared" si="229"/>
        <v/>
      </c>
      <c r="IO768" s="683" t="str">
        <f t="shared" si="230"/>
        <v/>
      </c>
      <c r="IP768" s="683" t="str">
        <f t="shared" si="231"/>
        <v/>
      </c>
      <c r="IQ768" s="683" t="str">
        <f t="shared" si="232"/>
        <v/>
      </c>
      <c r="IR768" s="683" t="str">
        <f t="shared" si="233"/>
        <v/>
      </c>
      <c r="IS768" s="683" t="str">
        <f t="shared" si="234"/>
        <v/>
      </c>
      <c r="IT768" s="683" t="str">
        <f t="shared" si="235"/>
        <v/>
      </c>
      <c r="IU768" s="683" t="str">
        <f t="shared" si="236"/>
        <v/>
      </c>
      <c r="IV768" s="683" t="str">
        <f t="shared" si="237"/>
        <v/>
      </c>
      <c r="IW768" s="683" t="str">
        <f t="shared" si="238"/>
        <v/>
      </c>
      <c r="IX768" s="683" t="str">
        <f t="shared" si="239"/>
        <v/>
      </c>
      <c r="IY768" s="683" t="str">
        <f t="shared" si="240"/>
        <v/>
      </c>
      <c r="IZ768" s="683" t="str">
        <f t="shared" si="241"/>
        <v/>
      </c>
      <c r="JA768" s="683" t="str">
        <f t="shared" si="242"/>
        <v/>
      </c>
      <c r="JB768" s="683" t="str">
        <f t="shared" si="243"/>
        <v/>
      </c>
      <c r="JC768" s="1824">
        <f t="shared" ref="JC768:JC804" si="244">IF(AND($C768="Efficiency",$E768&gt;0,OR($N768="1-Story",$N768="2-Story",$N768="3+ Story",$N768="2-Story Walkup",$N768="Townhome"),OR($O768="Acquisition/Rehab",$O768="Rehabilitation"),NOT($P768="Yes")),$E768,0)</f>
        <v>0</v>
      </c>
      <c r="JD768" s="1824">
        <f t="shared" ref="JD768:JD804" si="245">IF(AND($C768=1,$E768&gt;0,OR($N768="1-Story",$N768="2-Story",$N768="3+ Story",$N768="2-Story Walkup",$N768="Townhome"),OR($O768="Acquisition/Rehab",$O768="Rehabilitation"),NOT($P768="Yes")),$E768,0)</f>
        <v>0</v>
      </c>
      <c r="JE768" s="1824">
        <f t="shared" ref="JE768:JE804" si="246">IF(AND($C768=2,$E768&gt;0,OR($N768="1-Story",$N768="2-Story",$N768="3+ Story",$N768="2-Story Walkup",$N768="Townhome"),OR($O768="Acquisition/Rehab",$O768="Rehabilitation"),NOT($P768="Yes")),$E768,0)</f>
        <v>0</v>
      </c>
      <c r="JF768" s="1824">
        <f t="shared" ref="JF768:JF804" si="247">IF(AND($C768=3,$E768&gt;0,OR($N768="1-Story",$N768="2-Story",$N768="3+ Story",$N768="2-Story Walkup",$N768="Townhome"),OR($O768="Acquisition/Rehab",$O768="Rehabilitation"),NOT($P768="Yes")),$E768,0)</f>
        <v>0</v>
      </c>
      <c r="JG768" s="1824">
        <f t="shared" ref="JG768:JG804" si="248">IF(AND($C768=4,$E768&gt;0,OR($N768="1-Story",$N768="2-Story",$N768="3+ Story",$N768="2-Story Walkup",$N768="Townhome"),OR($O768="Acquisition/Rehab",$O768="Rehabilitation"),NOT($P768="Yes")),$E768,0)</f>
        <v>0</v>
      </c>
      <c r="JH768" s="1824">
        <f t="shared" ref="JH768:JH804" si="249">IF(AND($C768="Efficiency",$E768&gt;0,OR($N768="1-Story",$N768="2-Story",$N768="3+ Story",$N768="2-Story Walkup",$N768="Townhome"),$O768="New Construction"),$E768,0)</f>
        <v>0</v>
      </c>
      <c r="JI768" s="1824">
        <f t="shared" ref="JI768:JI804" si="250">IF(AND($C768=1,$E768&gt;0,OR($N768="1-Story",$N768="2-Story",$N768="3+ Story",$N768="2-Story Walkup",$N768="Townhome"),$O768="New Construction"),$E768,0)</f>
        <v>0</v>
      </c>
      <c r="JJ768" s="1824">
        <f t="shared" ref="JJ768:JJ804" si="251">IF(AND($C768=2,$E768&gt;0,OR($N768="1-Story",$N768="2-Story",$N768="3+ Story",$N768="2-Story Walkup",$N768="Townhome"),$O768="New Construction"),$E768,0)</f>
        <v>0</v>
      </c>
      <c r="JK768" s="1824">
        <f t="shared" ref="JK768:JK804" si="252">IF(AND($C768=3,$E768&gt;0,OR($N768="1-Story",$N768="2-Story",$N768="3+ Story",$N768="2-Story Walkup",$N768="Townhome"),$O768="New Construction"),$E768,0)</f>
        <v>0</v>
      </c>
      <c r="JL768" s="1824">
        <f t="shared" ref="JL768:JL804" si="253">IF(AND($C768=4,$E768&gt;0,OR($N768="1-Story",$N768="2-Story",$N768="3+ Story",$N768="2-Story Walkup",$N768="Townhome"),$O768="New Construction"),$E768,0)</f>
        <v>0</v>
      </c>
      <c r="JM768" s="1824">
        <f t="shared" ref="JM768:JM804" si="254">IF(AND($C768="Efficiency",$E768&gt;0,OR($N768="SF Detached",$N768="Duplex",$N768="Mfd Home"),NOT($P768="Yes")),$E768,0)</f>
        <v>0</v>
      </c>
      <c r="JN768" s="1824">
        <f t="shared" ref="JN768:JN804" si="255">IF(AND($C768=1,$E768&gt;0,OR($N768="SF Detached",$N768="Duplex",$N768="Mfd Home"),NOT($P768="Yes")),$E768,0)</f>
        <v>0</v>
      </c>
      <c r="JO768" s="1824">
        <f t="shared" ref="JO768:JO804" si="256">IF(AND($C768=2,$E768&gt;0,OR($N768="SF Detached",$N768="Duplex",$N768="Mfd Home"),NOT($P768="Yes")),$E768,0)</f>
        <v>10</v>
      </c>
      <c r="JP768" s="1824">
        <f t="shared" ref="JP768:JP804" si="257">IF(AND($C768=3,$E768&gt;0,OR($N768="SF Detached",$N768="Duplex",$N768="Mfd Home"),NOT($P768="Yes")),$E768,0)</f>
        <v>0</v>
      </c>
      <c r="JQ768" s="1824">
        <f t="shared" ref="JQ768:JQ804" si="258">IF(AND($C768=4,$E768&gt;0,OR($N768="SF Detached",$N768="Duplex",$N768="Mfd Home"),NOT($P768="Yes")),$E768,0)</f>
        <v>0</v>
      </c>
    </row>
    <row r="769" spans="1:277" ht="12" customHeight="1">
      <c r="A769" s="1837" t="str">
        <f t="shared" si="1"/>
        <v/>
      </c>
      <c r="B769" s="1846" t="str">
        <f>'Part VI-Revenues &amp; Expenses'!B12</f>
        <v>60% AMI</v>
      </c>
      <c r="C769" s="1847">
        <f>'Part VI-Revenues &amp; Expenses'!C12</f>
        <v>2</v>
      </c>
      <c r="D769" s="1848">
        <f>'Part VI-Revenues &amp; Expenses'!D12</f>
        <v>2</v>
      </c>
      <c r="E769" s="1849">
        <f>'Part VI-Revenues &amp; Expenses'!E12</f>
        <v>4</v>
      </c>
      <c r="F769" s="1849">
        <f>'Part VI-Revenues &amp; Expenses'!F12</f>
        <v>1143</v>
      </c>
      <c r="G769" s="1849">
        <f>'Part VI-Revenues &amp; Expenses'!G12</f>
        <v>670</v>
      </c>
      <c r="H769" s="1849">
        <f>'Part VI-Revenues &amp; Expenses'!H12</f>
        <v>670</v>
      </c>
      <c r="I769" s="1849">
        <f>'Part VI-Revenues &amp; Expenses'!I12</f>
        <v>147</v>
      </c>
      <c r="J769" s="1850">
        <f>'Part VI-Revenues &amp; Expenses'!J12</f>
        <v>0</v>
      </c>
      <c r="K769" s="1851">
        <f t="shared" si="2"/>
        <v>523</v>
      </c>
      <c r="L769" s="1851">
        <f t="shared" si="3"/>
        <v>2092</v>
      </c>
      <c r="M769" s="1725" t="str">
        <f>'Part VI-Revenues &amp; Expenses'!M12</f>
        <v>No</v>
      </c>
      <c r="N769" s="1725" t="str">
        <f>'Part VI-Revenues &amp; Expenses'!N12</f>
        <v>2-Story Walkup</v>
      </c>
      <c r="O769" s="1725" t="str">
        <f>'Part VI-Revenues &amp; Expenses'!O12</f>
        <v>New Construction</v>
      </c>
      <c r="P769" s="1831" t="str">
        <f>'Part VI-Revenues &amp; Expenses'!P12</f>
        <v>No</v>
      </c>
      <c r="Q769" s="1852">
        <f>'Part VI-Revenues &amp; Expenses'!Q12</f>
        <v>26800</v>
      </c>
      <c r="R769" s="1853">
        <f>'Part VI-Revenues &amp; Expenses'!R12</f>
        <v>0.60035842293906805</v>
      </c>
      <c r="S769" s="1852">
        <f>'Part VI-Revenues &amp; Expenses'!S12</f>
        <v>0</v>
      </c>
      <c r="T769" s="1853">
        <f>'Part VI-Revenues &amp; Expenses'!T12</f>
        <v>0</v>
      </c>
      <c r="U769" s="1775"/>
      <c r="V769" s="1775"/>
      <c r="W769" s="683" t="str">
        <f t="shared" si="4"/>
        <v/>
      </c>
      <c r="X769" s="683" t="str">
        <f t="shared" si="5"/>
        <v/>
      </c>
      <c r="Y769" s="683">
        <f t="shared" si="6"/>
        <v>4</v>
      </c>
      <c r="Z769" s="683" t="str">
        <f t="shared" si="7"/>
        <v/>
      </c>
      <c r="AA769" s="683" t="str">
        <f t="shared" si="8"/>
        <v/>
      </c>
      <c r="AB769" s="683" t="str">
        <f t="shared" si="9"/>
        <v/>
      </c>
      <c r="AC769" s="683" t="str">
        <f t="shared" si="10"/>
        <v/>
      </c>
      <c r="AD769" s="683" t="str">
        <f t="shared" si="11"/>
        <v/>
      </c>
      <c r="AE769" s="683" t="str">
        <f t="shared" si="12"/>
        <v/>
      </c>
      <c r="AF769" s="683" t="str">
        <f t="shared" si="13"/>
        <v/>
      </c>
      <c r="AG769" s="683" t="str">
        <f t="shared" si="14"/>
        <v/>
      </c>
      <c r="AH769" s="683" t="str">
        <f t="shared" si="15"/>
        <v/>
      </c>
      <c r="AI769" s="683" t="str">
        <f t="shared" si="16"/>
        <v/>
      </c>
      <c r="AJ769" s="683" t="str">
        <f t="shared" si="17"/>
        <v/>
      </c>
      <c r="AK769" s="683" t="str">
        <f t="shared" si="18"/>
        <v/>
      </c>
      <c r="AL769" s="683" t="str">
        <f t="shared" si="19"/>
        <v/>
      </c>
      <c r="AM769" s="683" t="str">
        <f t="shared" si="20"/>
        <v/>
      </c>
      <c r="AN769" s="683" t="str">
        <f t="shared" si="21"/>
        <v/>
      </c>
      <c r="AO769" s="683" t="str">
        <f t="shared" si="22"/>
        <v/>
      </c>
      <c r="AP769" s="683" t="str">
        <f t="shared" si="23"/>
        <v/>
      </c>
      <c r="AQ769" s="683" t="str">
        <f t="shared" si="24"/>
        <v/>
      </c>
      <c r="AR769" s="683" t="str">
        <f t="shared" si="25"/>
        <v/>
      </c>
      <c r="AS769" s="683" t="str">
        <f t="shared" si="26"/>
        <v/>
      </c>
      <c r="AT769" s="683" t="str">
        <f t="shared" si="27"/>
        <v/>
      </c>
      <c r="AU769" s="683" t="str">
        <f t="shared" si="28"/>
        <v/>
      </c>
      <c r="AV769" s="683" t="str">
        <f t="shared" si="29"/>
        <v/>
      </c>
      <c r="AW769" s="683" t="str">
        <f t="shared" si="30"/>
        <v/>
      </c>
      <c r="AX769" s="683" t="str">
        <f t="shared" si="31"/>
        <v/>
      </c>
      <c r="AY769" s="683" t="str">
        <f t="shared" si="32"/>
        <v/>
      </c>
      <c r="AZ769" s="683" t="str">
        <f t="shared" si="33"/>
        <v/>
      </c>
      <c r="BA769" s="683" t="str">
        <f t="shared" si="34"/>
        <v/>
      </c>
      <c r="BB769" s="683" t="str">
        <f t="shared" si="35"/>
        <v/>
      </c>
      <c r="BC769" s="683" t="str">
        <f t="shared" si="36"/>
        <v/>
      </c>
      <c r="BD769" s="683" t="str">
        <f t="shared" si="37"/>
        <v/>
      </c>
      <c r="BE769" s="683" t="str">
        <f t="shared" si="38"/>
        <v/>
      </c>
      <c r="BF769" s="683" t="str">
        <f t="shared" si="39"/>
        <v/>
      </c>
      <c r="BG769" s="683" t="str">
        <f t="shared" si="40"/>
        <v/>
      </c>
      <c r="BH769" s="683" t="str">
        <f t="shared" si="41"/>
        <v/>
      </c>
      <c r="BI769" s="683" t="str">
        <f t="shared" si="42"/>
        <v/>
      </c>
      <c r="BJ769" s="683" t="str">
        <f t="shared" si="43"/>
        <v/>
      </c>
      <c r="BK769" s="683" t="str">
        <f t="shared" si="44"/>
        <v/>
      </c>
      <c r="BL769" s="683" t="str">
        <f t="shared" si="45"/>
        <v/>
      </c>
      <c r="BM769" s="683" t="str">
        <f t="shared" si="46"/>
        <v/>
      </c>
      <c r="BN769" s="683" t="str">
        <f t="shared" si="47"/>
        <v/>
      </c>
      <c r="BO769" s="683" t="str">
        <f t="shared" si="48"/>
        <v/>
      </c>
      <c r="BP769" s="683" t="str">
        <f t="shared" si="49"/>
        <v/>
      </c>
      <c r="BQ769" s="683" t="str">
        <f t="shared" si="50"/>
        <v/>
      </c>
      <c r="BR769" s="683" t="str">
        <f t="shared" si="51"/>
        <v/>
      </c>
      <c r="BS769" s="683" t="str">
        <f t="shared" si="52"/>
        <v/>
      </c>
      <c r="BT769" s="683" t="str">
        <f t="shared" si="53"/>
        <v/>
      </c>
      <c r="BU769" s="683" t="str">
        <f t="shared" si="54"/>
        <v/>
      </c>
      <c r="BV769" s="683" t="str">
        <f t="shared" si="55"/>
        <v/>
      </c>
      <c r="BW769" s="683" t="str">
        <f t="shared" si="56"/>
        <v/>
      </c>
      <c r="BX769" s="683" t="str">
        <f t="shared" si="57"/>
        <v/>
      </c>
      <c r="BY769" s="683" t="str">
        <f t="shared" si="58"/>
        <v/>
      </c>
      <c r="BZ769" s="683" t="str">
        <f t="shared" si="59"/>
        <v/>
      </c>
      <c r="CA769" s="683" t="str">
        <f t="shared" si="60"/>
        <v/>
      </c>
      <c r="CB769" s="683">
        <f t="shared" si="61"/>
        <v>4572</v>
      </c>
      <c r="CC769" s="683" t="str">
        <f t="shared" si="62"/>
        <v/>
      </c>
      <c r="CD769" s="683" t="str">
        <f t="shared" si="63"/>
        <v/>
      </c>
      <c r="CE769" s="683" t="str">
        <f t="shared" si="64"/>
        <v/>
      </c>
      <c r="CF769" s="683" t="str">
        <f t="shared" si="65"/>
        <v/>
      </c>
      <c r="CG769" s="683" t="str">
        <f t="shared" si="66"/>
        <v/>
      </c>
      <c r="CH769" s="683" t="str">
        <f t="shared" si="67"/>
        <v/>
      </c>
      <c r="CI769" s="683" t="str">
        <f t="shared" si="68"/>
        <v/>
      </c>
      <c r="CJ769" s="683" t="str">
        <f t="shared" si="69"/>
        <v/>
      </c>
      <c r="CK769" s="683" t="str">
        <f t="shared" si="70"/>
        <v/>
      </c>
      <c r="CL769" s="683" t="str">
        <f t="shared" si="71"/>
        <v/>
      </c>
      <c r="CM769" s="683" t="str">
        <f t="shared" si="72"/>
        <v/>
      </c>
      <c r="CN769" s="683" t="str">
        <f t="shared" si="73"/>
        <v/>
      </c>
      <c r="CO769" s="683" t="str">
        <f t="shared" si="74"/>
        <v/>
      </c>
      <c r="CP769" s="683" t="str">
        <f t="shared" si="75"/>
        <v/>
      </c>
      <c r="CQ769" s="683" t="str">
        <f t="shared" si="76"/>
        <v/>
      </c>
      <c r="CR769" s="683" t="str">
        <f t="shared" si="77"/>
        <v/>
      </c>
      <c r="CS769" s="683" t="str">
        <f t="shared" si="78"/>
        <v/>
      </c>
      <c r="CT769" s="683" t="str">
        <f t="shared" si="79"/>
        <v/>
      </c>
      <c r="CU769" s="683" t="str">
        <f t="shared" si="80"/>
        <v/>
      </c>
      <c r="CV769" s="683" t="str">
        <f t="shared" si="81"/>
        <v/>
      </c>
      <c r="CW769" s="683" t="str">
        <f t="shared" si="82"/>
        <v/>
      </c>
      <c r="CX769" s="683" t="str">
        <f t="shared" si="83"/>
        <v/>
      </c>
      <c r="CY769" s="683" t="str">
        <f t="shared" si="84"/>
        <v/>
      </c>
      <c r="CZ769" s="683" t="str">
        <f t="shared" si="85"/>
        <v/>
      </c>
      <c r="DA769" s="683" t="str">
        <f t="shared" si="86"/>
        <v/>
      </c>
      <c r="DB769" s="683" t="str">
        <f t="shared" si="87"/>
        <v/>
      </c>
      <c r="DC769" s="683" t="str">
        <f t="shared" si="88"/>
        <v/>
      </c>
      <c r="DD769" s="683" t="str">
        <f t="shared" si="89"/>
        <v/>
      </c>
      <c r="DE769" s="683" t="str">
        <f t="shared" si="90"/>
        <v/>
      </c>
      <c r="DF769" s="683">
        <f t="shared" si="91"/>
        <v>4</v>
      </c>
      <c r="DG769" s="683" t="str">
        <f t="shared" si="92"/>
        <v/>
      </c>
      <c r="DH769" s="683" t="str">
        <f t="shared" si="93"/>
        <v/>
      </c>
      <c r="DI769" s="683" t="str">
        <f t="shared" si="94"/>
        <v/>
      </c>
      <c r="DJ769" s="683" t="str">
        <f t="shared" si="95"/>
        <v/>
      </c>
      <c r="DK769" s="683" t="str">
        <f t="shared" si="96"/>
        <v/>
      </c>
      <c r="DL769" s="683" t="str">
        <f t="shared" si="97"/>
        <v/>
      </c>
      <c r="DM769" s="683" t="str">
        <f t="shared" si="98"/>
        <v/>
      </c>
      <c r="DN769" s="683" t="str">
        <f t="shared" si="99"/>
        <v/>
      </c>
      <c r="DO769" s="683" t="str">
        <f t="shared" si="100"/>
        <v/>
      </c>
      <c r="DP769" s="683" t="str">
        <f t="shared" si="101"/>
        <v/>
      </c>
      <c r="DQ769" s="683" t="str">
        <f t="shared" si="102"/>
        <v/>
      </c>
      <c r="DR769" s="683" t="str">
        <f t="shared" si="103"/>
        <v/>
      </c>
      <c r="DS769" s="683" t="str">
        <f t="shared" si="104"/>
        <v/>
      </c>
      <c r="DT769" s="683" t="str">
        <f t="shared" si="105"/>
        <v/>
      </c>
      <c r="DU769" s="683" t="str">
        <f t="shared" si="106"/>
        <v/>
      </c>
      <c r="DV769" s="683" t="str">
        <f t="shared" si="107"/>
        <v/>
      </c>
      <c r="DW769" s="683" t="str">
        <f t="shared" si="108"/>
        <v/>
      </c>
      <c r="DX769" s="683" t="str">
        <f t="shared" si="109"/>
        <v/>
      </c>
      <c r="DY769" s="683" t="str">
        <f t="shared" si="110"/>
        <v/>
      </c>
      <c r="DZ769" s="683" t="str">
        <f t="shared" si="111"/>
        <v/>
      </c>
      <c r="EA769" s="683" t="str">
        <f t="shared" si="112"/>
        <v/>
      </c>
      <c r="EB769" s="683" t="str">
        <f t="shared" si="113"/>
        <v/>
      </c>
      <c r="EC769" s="683" t="str">
        <f t="shared" si="114"/>
        <v/>
      </c>
      <c r="ED769" s="683" t="str">
        <f t="shared" si="115"/>
        <v/>
      </c>
      <c r="EE769" s="683" t="str">
        <f t="shared" si="116"/>
        <v/>
      </c>
      <c r="EF769" s="683" t="str">
        <f t="shared" si="117"/>
        <v/>
      </c>
      <c r="EG769" s="683" t="str">
        <f t="shared" si="118"/>
        <v/>
      </c>
      <c r="EH769" s="683" t="str">
        <f t="shared" si="119"/>
        <v/>
      </c>
      <c r="EI769" s="683" t="str">
        <f t="shared" si="120"/>
        <v/>
      </c>
      <c r="EJ769" s="683" t="str">
        <f t="shared" si="121"/>
        <v/>
      </c>
      <c r="EK769" s="683" t="str">
        <f t="shared" si="122"/>
        <v/>
      </c>
      <c r="EL769" s="683" t="str">
        <f t="shared" si="123"/>
        <v/>
      </c>
      <c r="EM769" s="683" t="str">
        <f t="shared" si="124"/>
        <v/>
      </c>
      <c r="EN769" s="683" t="str">
        <f t="shared" si="125"/>
        <v/>
      </c>
      <c r="EO769" s="683" t="str">
        <f t="shared" si="126"/>
        <v/>
      </c>
      <c r="EP769" s="683" t="str">
        <f t="shared" si="127"/>
        <v/>
      </c>
      <c r="EQ769" s="683" t="str">
        <f t="shared" si="128"/>
        <v/>
      </c>
      <c r="ER769" s="683" t="str">
        <f t="shared" si="129"/>
        <v/>
      </c>
      <c r="ES769" s="683" t="str">
        <f t="shared" si="130"/>
        <v/>
      </c>
      <c r="ET769" s="683" t="str">
        <f t="shared" si="131"/>
        <v/>
      </c>
      <c r="EU769" s="683" t="str">
        <f t="shared" si="132"/>
        <v/>
      </c>
      <c r="EV769" s="683" t="str">
        <f t="shared" si="133"/>
        <v/>
      </c>
      <c r="EW769" s="1854" t="str">
        <f t="shared" si="134"/>
        <v/>
      </c>
      <c r="EX769" s="1854" t="str">
        <f t="shared" si="135"/>
        <v/>
      </c>
      <c r="EY769" s="1854">
        <f t="shared" si="136"/>
        <v>4</v>
      </c>
      <c r="EZ769" s="1854" t="str">
        <f t="shared" si="137"/>
        <v/>
      </c>
      <c r="FA769" s="1854" t="str">
        <f t="shared" si="138"/>
        <v/>
      </c>
      <c r="FB769" s="1854" t="str">
        <f t="shared" si="139"/>
        <v/>
      </c>
      <c r="FC769" s="1854" t="str">
        <f t="shared" si="140"/>
        <v/>
      </c>
      <c r="FD769" s="1854" t="str">
        <f t="shared" si="141"/>
        <v/>
      </c>
      <c r="FE769" s="1854" t="str">
        <f t="shared" si="142"/>
        <v/>
      </c>
      <c r="FF769" s="1854" t="str">
        <f t="shared" si="143"/>
        <v/>
      </c>
      <c r="FG769" s="1854" t="str">
        <f t="shared" si="144"/>
        <v/>
      </c>
      <c r="FH769" s="1854" t="str">
        <f t="shared" si="145"/>
        <v/>
      </c>
      <c r="FI769" s="1854" t="str">
        <f t="shared" si="146"/>
        <v/>
      </c>
      <c r="FJ769" s="1854" t="str">
        <f t="shared" si="147"/>
        <v/>
      </c>
      <c r="FK769" s="1854" t="str">
        <f t="shared" si="148"/>
        <v/>
      </c>
      <c r="FL769" s="1854" t="str">
        <f t="shared" si="149"/>
        <v/>
      </c>
      <c r="FM769" s="1854" t="str">
        <f t="shared" si="150"/>
        <v/>
      </c>
      <c r="FN769" s="1854" t="str">
        <f t="shared" si="151"/>
        <v/>
      </c>
      <c r="FO769" s="1854" t="str">
        <f t="shared" si="152"/>
        <v/>
      </c>
      <c r="FP769" s="1854" t="str">
        <f t="shared" si="153"/>
        <v/>
      </c>
      <c r="FQ769" s="1854" t="str">
        <f t="shared" si="154"/>
        <v/>
      </c>
      <c r="FR769" s="1854" t="str">
        <f t="shared" si="155"/>
        <v/>
      </c>
      <c r="FS769" s="1854" t="str">
        <f t="shared" si="156"/>
        <v/>
      </c>
      <c r="FT769" s="1854" t="str">
        <f t="shared" si="157"/>
        <v/>
      </c>
      <c r="FU769" s="1854" t="str">
        <f t="shared" si="158"/>
        <v/>
      </c>
      <c r="FV769" s="1854" t="str">
        <f t="shared" si="159"/>
        <v/>
      </c>
      <c r="FW769" s="1854" t="str">
        <f t="shared" si="160"/>
        <v/>
      </c>
      <c r="FX769" s="1854" t="str">
        <f t="shared" si="161"/>
        <v/>
      </c>
      <c r="FY769" s="1854" t="str">
        <f t="shared" si="162"/>
        <v/>
      </c>
      <c r="FZ769" s="1854" t="str">
        <f t="shared" si="163"/>
        <v/>
      </c>
      <c r="GA769" s="1854" t="str">
        <f t="shared" si="164"/>
        <v/>
      </c>
      <c r="GB769" s="1854" t="str">
        <f t="shared" si="165"/>
        <v/>
      </c>
      <c r="GC769" s="1854" t="str">
        <f t="shared" si="166"/>
        <v/>
      </c>
      <c r="GD769" s="1854" t="str">
        <f t="shared" si="167"/>
        <v/>
      </c>
      <c r="GE769" s="1854" t="str">
        <f t="shared" si="168"/>
        <v/>
      </c>
      <c r="GF769" s="1854" t="str">
        <f t="shared" si="169"/>
        <v/>
      </c>
      <c r="GG769" s="1854" t="str">
        <f t="shared" si="170"/>
        <v/>
      </c>
      <c r="GH769" s="1854" t="str">
        <f t="shared" si="171"/>
        <v/>
      </c>
      <c r="GI769" s="1854" t="str">
        <f t="shared" si="172"/>
        <v/>
      </c>
      <c r="GJ769" s="1854" t="str">
        <f t="shared" si="173"/>
        <v/>
      </c>
      <c r="GK769" s="1854" t="str">
        <f t="shared" si="174"/>
        <v/>
      </c>
      <c r="GL769" s="1854" t="str">
        <f t="shared" si="175"/>
        <v/>
      </c>
      <c r="GM769" s="1854" t="str">
        <f t="shared" si="176"/>
        <v/>
      </c>
      <c r="GN769" s="1854" t="str">
        <f t="shared" si="177"/>
        <v/>
      </c>
      <c r="GO769" s="1854" t="str">
        <f t="shared" si="178"/>
        <v/>
      </c>
      <c r="GP769" s="1854" t="str">
        <f t="shared" si="179"/>
        <v/>
      </c>
      <c r="GQ769" s="1854" t="str">
        <f t="shared" si="180"/>
        <v/>
      </c>
      <c r="GR769" s="1854" t="str">
        <f t="shared" si="181"/>
        <v/>
      </c>
      <c r="GS769" s="1854" t="str">
        <f t="shared" si="182"/>
        <v/>
      </c>
      <c r="GT769" s="1854" t="str">
        <f t="shared" si="183"/>
        <v/>
      </c>
      <c r="GU769" s="1854" t="str">
        <f t="shared" si="184"/>
        <v/>
      </c>
      <c r="GV769" s="1854" t="str">
        <f t="shared" si="185"/>
        <v/>
      </c>
      <c r="GW769" s="1854" t="str">
        <f t="shared" si="186"/>
        <v/>
      </c>
      <c r="GX769" s="1854" t="str">
        <f t="shared" si="187"/>
        <v/>
      </c>
      <c r="GY769" s="1854" t="str">
        <f t="shared" si="188"/>
        <v/>
      </c>
      <c r="GZ769" s="1854" t="str">
        <f t="shared" si="189"/>
        <v/>
      </c>
      <c r="HA769" s="1854" t="str">
        <f t="shared" si="190"/>
        <v/>
      </c>
      <c r="HB769" s="1854" t="str">
        <f t="shared" si="191"/>
        <v/>
      </c>
      <c r="HC769" s="1854" t="str">
        <f t="shared" si="192"/>
        <v/>
      </c>
      <c r="HD769" s="1854" t="str">
        <f t="shared" si="193"/>
        <v/>
      </c>
      <c r="HE769" s="1854" t="str">
        <f t="shared" si="194"/>
        <v/>
      </c>
      <c r="HF769" s="1854" t="str">
        <f t="shared" si="195"/>
        <v/>
      </c>
      <c r="HG769" s="1854" t="str">
        <f t="shared" si="196"/>
        <v/>
      </c>
      <c r="HH769" s="1854" t="str">
        <f t="shared" si="197"/>
        <v/>
      </c>
      <c r="HI769" s="1854" t="str">
        <f t="shared" si="198"/>
        <v/>
      </c>
      <c r="HJ769" s="1854" t="str">
        <f t="shared" si="199"/>
        <v/>
      </c>
      <c r="HK769" s="1854" t="str">
        <f t="shared" si="200"/>
        <v/>
      </c>
      <c r="HL769" s="1854">
        <f t="shared" si="201"/>
        <v>4</v>
      </c>
      <c r="HM769" s="1854" t="str">
        <f t="shared" si="202"/>
        <v/>
      </c>
      <c r="HN769" s="1854" t="str">
        <f t="shared" si="203"/>
        <v/>
      </c>
      <c r="HO769" s="1854" t="str">
        <f t="shared" si="204"/>
        <v/>
      </c>
      <c r="HP769" s="1854" t="str">
        <f t="shared" si="205"/>
        <v/>
      </c>
      <c r="HQ769" s="1854" t="str">
        <f t="shared" si="206"/>
        <v/>
      </c>
      <c r="HR769" s="1854" t="str">
        <f t="shared" si="207"/>
        <v/>
      </c>
      <c r="HS769" s="1854" t="str">
        <f t="shared" si="208"/>
        <v/>
      </c>
      <c r="HT769" s="1854" t="str">
        <f t="shared" si="209"/>
        <v/>
      </c>
      <c r="HU769" s="1854" t="str">
        <f t="shared" si="210"/>
        <v/>
      </c>
      <c r="HV769" s="1854" t="str">
        <f t="shared" si="211"/>
        <v/>
      </c>
      <c r="HW769" s="1854" t="str">
        <f t="shared" si="212"/>
        <v/>
      </c>
      <c r="HX769" s="1854" t="str">
        <f t="shared" si="213"/>
        <v/>
      </c>
      <c r="HY769" s="1854" t="str">
        <f t="shared" si="214"/>
        <v/>
      </c>
      <c r="HZ769" s="1854" t="str">
        <f t="shared" si="215"/>
        <v/>
      </c>
      <c r="IA769" s="1854" t="str">
        <f t="shared" si="216"/>
        <v/>
      </c>
      <c r="IB769" s="1854" t="str">
        <f t="shared" si="217"/>
        <v/>
      </c>
      <c r="IC769" s="1854" t="str">
        <f t="shared" si="218"/>
        <v/>
      </c>
      <c r="ID769" s="1826" t="str">
        <f t="shared" si="219"/>
        <v/>
      </c>
      <c r="IE769" s="1826" t="str">
        <f t="shared" si="220"/>
        <v/>
      </c>
      <c r="IF769" s="1826" t="str">
        <f t="shared" si="221"/>
        <v/>
      </c>
      <c r="IG769" s="1826" t="str">
        <f t="shared" si="222"/>
        <v/>
      </c>
      <c r="IH769" s="1826" t="str">
        <f t="shared" si="223"/>
        <v/>
      </c>
      <c r="II769" s="683" t="str">
        <f t="shared" si="224"/>
        <v/>
      </c>
      <c r="IJ769" s="683" t="str">
        <f t="shared" si="225"/>
        <v/>
      </c>
      <c r="IK769" s="683" t="str">
        <f t="shared" si="226"/>
        <v/>
      </c>
      <c r="IL769" s="683" t="str">
        <f t="shared" si="227"/>
        <v/>
      </c>
      <c r="IM769" s="683" t="str">
        <f t="shared" si="228"/>
        <v/>
      </c>
      <c r="IN769" s="683" t="str">
        <f t="shared" si="229"/>
        <v/>
      </c>
      <c r="IO769" s="683" t="str">
        <f t="shared" si="230"/>
        <v/>
      </c>
      <c r="IP769" s="683" t="str">
        <f t="shared" si="231"/>
        <v/>
      </c>
      <c r="IQ769" s="683" t="str">
        <f t="shared" si="232"/>
        <v/>
      </c>
      <c r="IR769" s="683" t="str">
        <f t="shared" si="233"/>
        <v/>
      </c>
      <c r="IS769" s="683" t="str">
        <f t="shared" si="234"/>
        <v/>
      </c>
      <c r="IT769" s="683" t="str">
        <f t="shared" si="235"/>
        <v/>
      </c>
      <c r="IU769" s="683" t="str">
        <f t="shared" si="236"/>
        <v/>
      </c>
      <c r="IV769" s="683" t="str">
        <f t="shared" si="237"/>
        <v/>
      </c>
      <c r="IW769" s="683" t="str">
        <f t="shared" si="238"/>
        <v/>
      </c>
      <c r="IX769" s="683" t="str">
        <f t="shared" si="239"/>
        <v/>
      </c>
      <c r="IY769" s="683" t="str">
        <f t="shared" si="240"/>
        <v/>
      </c>
      <c r="IZ769" s="683" t="str">
        <f t="shared" si="241"/>
        <v/>
      </c>
      <c r="JA769" s="683" t="str">
        <f t="shared" si="242"/>
        <v/>
      </c>
      <c r="JB769" s="683" t="str">
        <f t="shared" si="243"/>
        <v/>
      </c>
      <c r="JC769" s="1824">
        <f t="shared" si="244"/>
        <v>0</v>
      </c>
      <c r="JD769" s="1824">
        <f t="shared" si="245"/>
        <v>0</v>
      </c>
      <c r="JE769" s="1824">
        <f t="shared" si="246"/>
        <v>0</v>
      </c>
      <c r="JF769" s="1824">
        <f t="shared" si="247"/>
        <v>0</v>
      </c>
      <c r="JG769" s="1824">
        <f t="shared" si="248"/>
        <v>0</v>
      </c>
      <c r="JH769" s="1824">
        <f t="shared" si="249"/>
        <v>0</v>
      </c>
      <c r="JI769" s="1824">
        <f t="shared" si="250"/>
        <v>0</v>
      </c>
      <c r="JJ769" s="1824">
        <f t="shared" si="251"/>
        <v>4</v>
      </c>
      <c r="JK769" s="1824">
        <f t="shared" si="252"/>
        <v>0</v>
      </c>
      <c r="JL769" s="1824">
        <f t="shared" si="253"/>
        <v>0</v>
      </c>
      <c r="JM769" s="1824">
        <f t="shared" si="254"/>
        <v>0</v>
      </c>
      <c r="JN769" s="1824">
        <f t="shared" si="255"/>
        <v>0</v>
      </c>
      <c r="JO769" s="1824">
        <f t="shared" si="256"/>
        <v>0</v>
      </c>
      <c r="JP769" s="1824">
        <f t="shared" si="257"/>
        <v>0</v>
      </c>
      <c r="JQ769" s="1824">
        <f t="shared" si="258"/>
        <v>0</v>
      </c>
    </row>
    <row r="770" spans="1:277" ht="12" customHeight="1">
      <c r="A770" s="1837" t="str">
        <f t="shared" si="1"/>
        <v/>
      </c>
      <c r="B770" s="1846" t="str">
        <f>'Part VI-Revenues &amp; Expenses'!B13</f>
        <v>50% AMI</v>
      </c>
      <c r="C770" s="1847">
        <f>'Part VI-Revenues &amp; Expenses'!C13</f>
        <v>2</v>
      </c>
      <c r="D770" s="1848">
        <f>'Part VI-Revenues &amp; Expenses'!D13</f>
        <v>2</v>
      </c>
      <c r="E770" s="1849">
        <f>'Part VI-Revenues &amp; Expenses'!E13</f>
        <v>2</v>
      </c>
      <c r="F770" s="1849">
        <f>'Part VI-Revenues &amp; Expenses'!F13</f>
        <v>1143</v>
      </c>
      <c r="G770" s="1849">
        <f>'Part VI-Revenues &amp; Expenses'!G13</f>
        <v>558</v>
      </c>
      <c r="H770" s="1849">
        <f>'Part VI-Revenues &amp; Expenses'!H13</f>
        <v>777</v>
      </c>
      <c r="I770" s="1849">
        <f>'Part VI-Revenues &amp; Expenses'!I13</f>
        <v>147</v>
      </c>
      <c r="J770" s="1850" t="str">
        <f>'Part VI-Revenues &amp; Expenses'!J13</f>
        <v>PHA PBRA</v>
      </c>
      <c r="K770" s="1851">
        <f t="shared" si="2"/>
        <v>630</v>
      </c>
      <c r="L770" s="1851">
        <f t="shared" si="3"/>
        <v>1260</v>
      </c>
      <c r="M770" s="1725" t="str">
        <f>'Part VI-Revenues &amp; Expenses'!M13</f>
        <v>No</v>
      </c>
      <c r="N770" s="1725" t="str">
        <f>'Part VI-Revenues &amp; Expenses'!N13</f>
        <v>2-Story Walkup</v>
      </c>
      <c r="O770" s="1725" t="str">
        <f>'Part VI-Revenues &amp; Expenses'!O13</f>
        <v>New Construction</v>
      </c>
      <c r="P770" s="1831" t="str">
        <f>'Part VI-Revenues &amp; Expenses'!P13</f>
        <v>No</v>
      </c>
      <c r="Q770" s="1852">
        <f>'Part VI-Revenues &amp; Expenses'!Q13</f>
        <v>31080</v>
      </c>
      <c r="R770" s="1853">
        <f>'Part VI-Revenues &amp; Expenses'!R13</f>
        <v>0.69623655913978499</v>
      </c>
      <c r="S770" s="1852">
        <f>'Part VI-Revenues &amp; Expenses'!S13</f>
        <v>0</v>
      </c>
      <c r="T770" s="1853">
        <f>'Part VI-Revenues &amp; Expenses'!T13</f>
        <v>0</v>
      </c>
      <c r="U770" s="1775"/>
      <c r="V770" s="1775"/>
      <c r="W770" s="683" t="str">
        <f t="shared" si="4"/>
        <v/>
      </c>
      <c r="X770" s="683" t="str">
        <f t="shared" si="5"/>
        <v/>
      </c>
      <c r="Y770" s="683" t="str">
        <f t="shared" si="6"/>
        <v/>
      </c>
      <c r="Z770" s="683" t="str">
        <f t="shared" si="7"/>
        <v/>
      </c>
      <c r="AA770" s="683" t="str">
        <f t="shared" si="8"/>
        <v/>
      </c>
      <c r="AB770" s="683" t="str">
        <f t="shared" si="9"/>
        <v/>
      </c>
      <c r="AC770" s="683" t="str">
        <f t="shared" si="10"/>
        <v/>
      </c>
      <c r="AD770" s="683">
        <f t="shared" si="11"/>
        <v>2</v>
      </c>
      <c r="AE770" s="683" t="str">
        <f t="shared" si="12"/>
        <v/>
      </c>
      <c r="AF770" s="683" t="str">
        <f t="shared" si="13"/>
        <v/>
      </c>
      <c r="AG770" s="683" t="str">
        <f t="shared" si="14"/>
        <v/>
      </c>
      <c r="AH770" s="683" t="str">
        <f t="shared" si="15"/>
        <v/>
      </c>
      <c r="AI770" s="683" t="str">
        <f t="shared" si="16"/>
        <v/>
      </c>
      <c r="AJ770" s="683" t="str">
        <f t="shared" si="17"/>
        <v/>
      </c>
      <c r="AK770" s="683" t="str">
        <f t="shared" si="18"/>
        <v/>
      </c>
      <c r="AL770" s="683" t="str">
        <f t="shared" si="19"/>
        <v/>
      </c>
      <c r="AM770" s="683" t="str">
        <f t="shared" si="20"/>
        <v/>
      </c>
      <c r="AN770" s="683" t="str">
        <f t="shared" si="21"/>
        <v/>
      </c>
      <c r="AO770" s="683" t="str">
        <f t="shared" si="22"/>
        <v/>
      </c>
      <c r="AP770" s="683" t="str">
        <f t="shared" si="23"/>
        <v/>
      </c>
      <c r="AQ770" s="683" t="str">
        <f t="shared" si="24"/>
        <v/>
      </c>
      <c r="AR770" s="683" t="str">
        <f t="shared" si="25"/>
        <v/>
      </c>
      <c r="AS770" s="683" t="str">
        <f t="shared" si="26"/>
        <v/>
      </c>
      <c r="AT770" s="683" t="str">
        <f t="shared" si="27"/>
        <v/>
      </c>
      <c r="AU770" s="683" t="str">
        <f t="shared" si="28"/>
        <v/>
      </c>
      <c r="AV770" s="683" t="str">
        <f t="shared" si="29"/>
        <v/>
      </c>
      <c r="AW770" s="683" t="str">
        <f t="shared" si="30"/>
        <v/>
      </c>
      <c r="AX770" s="683">
        <f t="shared" si="31"/>
        <v>2</v>
      </c>
      <c r="AY770" s="683" t="str">
        <f t="shared" si="32"/>
        <v/>
      </c>
      <c r="AZ770" s="683" t="str">
        <f t="shared" si="33"/>
        <v/>
      </c>
      <c r="BA770" s="683" t="str">
        <f t="shared" si="34"/>
        <v/>
      </c>
      <c r="BB770" s="683" t="str">
        <f t="shared" si="35"/>
        <v/>
      </c>
      <c r="BC770" s="683" t="str">
        <f t="shared" si="36"/>
        <v/>
      </c>
      <c r="BD770" s="683" t="str">
        <f t="shared" si="37"/>
        <v/>
      </c>
      <c r="BE770" s="683" t="str">
        <f t="shared" si="38"/>
        <v/>
      </c>
      <c r="BF770" s="683" t="str">
        <f t="shared" si="39"/>
        <v/>
      </c>
      <c r="BG770" s="683" t="str">
        <f t="shared" si="40"/>
        <v/>
      </c>
      <c r="BH770" s="683" t="str">
        <f t="shared" si="41"/>
        <v/>
      </c>
      <c r="BI770" s="683" t="str">
        <f t="shared" si="42"/>
        <v/>
      </c>
      <c r="BJ770" s="683" t="str">
        <f t="shared" si="43"/>
        <v/>
      </c>
      <c r="BK770" s="683" t="str">
        <f t="shared" si="44"/>
        <v/>
      </c>
      <c r="BL770" s="683" t="str">
        <f t="shared" si="45"/>
        <v/>
      </c>
      <c r="BM770" s="683" t="str">
        <f t="shared" si="46"/>
        <v/>
      </c>
      <c r="BN770" s="683" t="str">
        <f t="shared" si="47"/>
        <v/>
      </c>
      <c r="BO770" s="683" t="str">
        <f t="shared" si="48"/>
        <v/>
      </c>
      <c r="BP770" s="683" t="str">
        <f t="shared" si="49"/>
        <v/>
      </c>
      <c r="BQ770" s="683" t="str">
        <f t="shared" si="50"/>
        <v/>
      </c>
      <c r="BR770" s="683" t="str">
        <f t="shared" si="51"/>
        <v/>
      </c>
      <c r="BS770" s="683" t="str">
        <f t="shared" si="52"/>
        <v/>
      </c>
      <c r="BT770" s="683" t="str">
        <f t="shared" si="53"/>
        <v/>
      </c>
      <c r="BU770" s="683" t="str">
        <f t="shared" si="54"/>
        <v/>
      </c>
      <c r="BV770" s="683" t="str">
        <f t="shared" si="55"/>
        <v/>
      </c>
      <c r="BW770" s="683" t="str">
        <f t="shared" si="56"/>
        <v/>
      </c>
      <c r="BX770" s="683" t="str">
        <f t="shared" si="57"/>
        <v/>
      </c>
      <c r="BY770" s="683" t="str">
        <f t="shared" si="58"/>
        <v/>
      </c>
      <c r="BZ770" s="683" t="str">
        <f t="shared" si="59"/>
        <v/>
      </c>
      <c r="CA770" s="683" t="str">
        <f t="shared" si="60"/>
        <v/>
      </c>
      <c r="CB770" s="683" t="str">
        <f t="shared" si="61"/>
        <v/>
      </c>
      <c r="CC770" s="683" t="str">
        <f t="shared" si="62"/>
        <v/>
      </c>
      <c r="CD770" s="683" t="str">
        <f t="shared" si="63"/>
        <v/>
      </c>
      <c r="CE770" s="683" t="str">
        <f t="shared" si="64"/>
        <v/>
      </c>
      <c r="CF770" s="683" t="str">
        <f t="shared" si="65"/>
        <v/>
      </c>
      <c r="CG770" s="683">
        <f t="shared" si="66"/>
        <v>2286</v>
      </c>
      <c r="CH770" s="683" t="str">
        <f t="shared" si="67"/>
        <v/>
      </c>
      <c r="CI770" s="683" t="str">
        <f t="shared" si="68"/>
        <v/>
      </c>
      <c r="CJ770" s="683" t="str">
        <f t="shared" si="69"/>
        <v/>
      </c>
      <c r="CK770" s="683" t="str">
        <f t="shared" si="70"/>
        <v/>
      </c>
      <c r="CL770" s="683" t="str">
        <f t="shared" si="71"/>
        <v/>
      </c>
      <c r="CM770" s="683" t="str">
        <f t="shared" si="72"/>
        <v/>
      </c>
      <c r="CN770" s="683" t="str">
        <f t="shared" si="73"/>
        <v/>
      </c>
      <c r="CO770" s="683" t="str">
        <f t="shared" si="74"/>
        <v/>
      </c>
      <c r="CP770" s="683" t="str">
        <f t="shared" si="75"/>
        <v/>
      </c>
      <c r="CQ770" s="683" t="str">
        <f t="shared" si="76"/>
        <v/>
      </c>
      <c r="CR770" s="683" t="str">
        <f t="shared" si="77"/>
        <v/>
      </c>
      <c r="CS770" s="683" t="str">
        <f t="shared" si="78"/>
        <v/>
      </c>
      <c r="CT770" s="683" t="str">
        <f t="shared" si="79"/>
        <v/>
      </c>
      <c r="CU770" s="683" t="str">
        <f t="shared" si="80"/>
        <v/>
      </c>
      <c r="CV770" s="683">
        <f t="shared" si="81"/>
        <v>2286</v>
      </c>
      <c r="CW770" s="683" t="str">
        <f t="shared" si="82"/>
        <v/>
      </c>
      <c r="CX770" s="683" t="str">
        <f t="shared" si="83"/>
        <v/>
      </c>
      <c r="CY770" s="683" t="str">
        <f t="shared" si="84"/>
        <v/>
      </c>
      <c r="CZ770" s="683" t="str">
        <f t="shared" si="85"/>
        <v/>
      </c>
      <c r="DA770" s="683" t="str">
        <f t="shared" si="86"/>
        <v/>
      </c>
      <c r="DB770" s="683" t="str">
        <f t="shared" si="87"/>
        <v/>
      </c>
      <c r="DC770" s="683" t="str">
        <f t="shared" si="88"/>
        <v/>
      </c>
      <c r="DD770" s="683" t="str">
        <f t="shared" si="89"/>
        <v/>
      </c>
      <c r="DE770" s="683" t="str">
        <f t="shared" si="90"/>
        <v/>
      </c>
      <c r="DF770" s="683">
        <f t="shared" si="91"/>
        <v>2</v>
      </c>
      <c r="DG770" s="683" t="str">
        <f t="shared" si="92"/>
        <v/>
      </c>
      <c r="DH770" s="683" t="str">
        <f t="shared" si="93"/>
        <v/>
      </c>
      <c r="DI770" s="683" t="str">
        <f t="shared" si="94"/>
        <v/>
      </c>
      <c r="DJ770" s="683" t="str">
        <f t="shared" si="95"/>
        <v/>
      </c>
      <c r="DK770" s="683" t="str">
        <f t="shared" si="96"/>
        <v/>
      </c>
      <c r="DL770" s="683" t="str">
        <f t="shared" si="97"/>
        <v/>
      </c>
      <c r="DM770" s="683" t="str">
        <f t="shared" si="98"/>
        <v/>
      </c>
      <c r="DN770" s="683" t="str">
        <f t="shared" si="99"/>
        <v/>
      </c>
      <c r="DO770" s="683" t="str">
        <f t="shared" si="100"/>
        <v/>
      </c>
      <c r="DP770" s="683" t="str">
        <f t="shared" si="101"/>
        <v/>
      </c>
      <c r="DQ770" s="683" t="str">
        <f t="shared" si="102"/>
        <v/>
      </c>
      <c r="DR770" s="683" t="str">
        <f t="shared" si="103"/>
        <v/>
      </c>
      <c r="DS770" s="683" t="str">
        <f t="shared" si="104"/>
        <v/>
      </c>
      <c r="DT770" s="683" t="str">
        <f t="shared" si="105"/>
        <v/>
      </c>
      <c r="DU770" s="683" t="str">
        <f t="shared" si="106"/>
        <v/>
      </c>
      <c r="DV770" s="683" t="str">
        <f t="shared" si="107"/>
        <v/>
      </c>
      <c r="DW770" s="683" t="str">
        <f t="shared" si="108"/>
        <v/>
      </c>
      <c r="DX770" s="683" t="str">
        <f t="shared" si="109"/>
        <v/>
      </c>
      <c r="DY770" s="683" t="str">
        <f t="shared" si="110"/>
        <v/>
      </c>
      <c r="DZ770" s="683" t="str">
        <f t="shared" si="111"/>
        <v/>
      </c>
      <c r="EA770" s="683" t="str">
        <f t="shared" si="112"/>
        <v/>
      </c>
      <c r="EB770" s="683" t="str">
        <f t="shared" si="113"/>
        <v/>
      </c>
      <c r="EC770" s="683" t="str">
        <f t="shared" si="114"/>
        <v/>
      </c>
      <c r="ED770" s="683" t="str">
        <f t="shared" si="115"/>
        <v/>
      </c>
      <c r="EE770" s="683" t="str">
        <f t="shared" si="116"/>
        <v/>
      </c>
      <c r="EF770" s="683" t="str">
        <f t="shared" si="117"/>
        <v/>
      </c>
      <c r="EG770" s="683" t="str">
        <f t="shared" si="118"/>
        <v/>
      </c>
      <c r="EH770" s="683" t="str">
        <f t="shared" si="119"/>
        <v/>
      </c>
      <c r="EI770" s="683" t="str">
        <f t="shared" si="120"/>
        <v/>
      </c>
      <c r="EJ770" s="683" t="str">
        <f t="shared" si="121"/>
        <v/>
      </c>
      <c r="EK770" s="683" t="str">
        <f t="shared" si="122"/>
        <v/>
      </c>
      <c r="EL770" s="683" t="str">
        <f t="shared" si="123"/>
        <v/>
      </c>
      <c r="EM770" s="683" t="str">
        <f t="shared" si="124"/>
        <v/>
      </c>
      <c r="EN770" s="683" t="str">
        <f t="shared" si="125"/>
        <v/>
      </c>
      <c r="EO770" s="683" t="str">
        <f t="shared" si="126"/>
        <v/>
      </c>
      <c r="EP770" s="683" t="str">
        <f t="shared" si="127"/>
        <v/>
      </c>
      <c r="EQ770" s="683" t="str">
        <f t="shared" si="128"/>
        <v/>
      </c>
      <c r="ER770" s="683" t="str">
        <f t="shared" si="129"/>
        <v/>
      </c>
      <c r="ES770" s="683" t="str">
        <f t="shared" si="130"/>
        <v/>
      </c>
      <c r="ET770" s="683" t="str">
        <f t="shared" si="131"/>
        <v/>
      </c>
      <c r="EU770" s="683" t="str">
        <f t="shared" si="132"/>
        <v/>
      </c>
      <c r="EV770" s="683" t="str">
        <f t="shared" si="133"/>
        <v/>
      </c>
      <c r="EW770" s="1854" t="str">
        <f t="shared" si="134"/>
        <v/>
      </c>
      <c r="EX770" s="1854" t="str">
        <f t="shared" si="135"/>
        <v/>
      </c>
      <c r="EY770" s="1854">
        <f t="shared" si="136"/>
        <v>2</v>
      </c>
      <c r="EZ770" s="1854" t="str">
        <f t="shared" si="137"/>
        <v/>
      </c>
      <c r="FA770" s="1854" t="str">
        <f t="shared" si="138"/>
        <v/>
      </c>
      <c r="FB770" s="1854" t="str">
        <f t="shared" si="139"/>
        <v/>
      </c>
      <c r="FC770" s="1854" t="str">
        <f t="shared" si="140"/>
        <v/>
      </c>
      <c r="FD770" s="1854" t="str">
        <f t="shared" si="141"/>
        <v/>
      </c>
      <c r="FE770" s="1854" t="str">
        <f t="shared" si="142"/>
        <v/>
      </c>
      <c r="FF770" s="1854" t="str">
        <f t="shared" si="143"/>
        <v/>
      </c>
      <c r="FG770" s="1854" t="str">
        <f t="shared" si="144"/>
        <v/>
      </c>
      <c r="FH770" s="1854" t="str">
        <f t="shared" si="145"/>
        <v/>
      </c>
      <c r="FI770" s="1854" t="str">
        <f t="shared" si="146"/>
        <v/>
      </c>
      <c r="FJ770" s="1854" t="str">
        <f t="shared" si="147"/>
        <v/>
      </c>
      <c r="FK770" s="1854" t="str">
        <f t="shared" si="148"/>
        <v/>
      </c>
      <c r="FL770" s="1854" t="str">
        <f t="shared" si="149"/>
        <v/>
      </c>
      <c r="FM770" s="1854" t="str">
        <f t="shared" si="150"/>
        <v/>
      </c>
      <c r="FN770" s="1854" t="str">
        <f t="shared" si="151"/>
        <v/>
      </c>
      <c r="FO770" s="1854" t="str">
        <f t="shared" si="152"/>
        <v/>
      </c>
      <c r="FP770" s="1854" t="str">
        <f t="shared" si="153"/>
        <v/>
      </c>
      <c r="FQ770" s="1854" t="str">
        <f t="shared" si="154"/>
        <v/>
      </c>
      <c r="FR770" s="1854" t="str">
        <f t="shared" si="155"/>
        <v/>
      </c>
      <c r="FS770" s="1854" t="str">
        <f t="shared" si="156"/>
        <v/>
      </c>
      <c r="FT770" s="1854" t="str">
        <f t="shared" si="157"/>
        <v/>
      </c>
      <c r="FU770" s="1854" t="str">
        <f t="shared" si="158"/>
        <v/>
      </c>
      <c r="FV770" s="1854" t="str">
        <f t="shared" si="159"/>
        <v/>
      </c>
      <c r="FW770" s="1854" t="str">
        <f t="shared" si="160"/>
        <v/>
      </c>
      <c r="FX770" s="1854" t="str">
        <f t="shared" si="161"/>
        <v/>
      </c>
      <c r="FY770" s="1854" t="str">
        <f t="shared" si="162"/>
        <v/>
      </c>
      <c r="FZ770" s="1854" t="str">
        <f t="shared" si="163"/>
        <v/>
      </c>
      <c r="GA770" s="1854" t="str">
        <f t="shared" si="164"/>
        <v/>
      </c>
      <c r="GB770" s="1854" t="str">
        <f t="shared" si="165"/>
        <v/>
      </c>
      <c r="GC770" s="1854" t="str">
        <f t="shared" si="166"/>
        <v/>
      </c>
      <c r="GD770" s="1854" t="str">
        <f t="shared" si="167"/>
        <v/>
      </c>
      <c r="GE770" s="1854" t="str">
        <f t="shared" si="168"/>
        <v/>
      </c>
      <c r="GF770" s="1854" t="str">
        <f t="shared" si="169"/>
        <v/>
      </c>
      <c r="GG770" s="1854" t="str">
        <f t="shared" si="170"/>
        <v/>
      </c>
      <c r="GH770" s="1854" t="str">
        <f t="shared" si="171"/>
        <v/>
      </c>
      <c r="GI770" s="1854" t="str">
        <f t="shared" si="172"/>
        <v/>
      </c>
      <c r="GJ770" s="1854" t="str">
        <f t="shared" si="173"/>
        <v/>
      </c>
      <c r="GK770" s="1854" t="str">
        <f t="shared" si="174"/>
        <v/>
      </c>
      <c r="GL770" s="1854" t="str">
        <f t="shared" si="175"/>
        <v/>
      </c>
      <c r="GM770" s="1854" t="str">
        <f t="shared" si="176"/>
        <v/>
      </c>
      <c r="GN770" s="1854" t="str">
        <f t="shared" si="177"/>
        <v/>
      </c>
      <c r="GO770" s="1854" t="str">
        <f t="shared" si="178"/>
        <v/>
      </c>
      <c r="GP770" s="1854" t="str">
        <f t="shared" si="179"/>
        <v/>
      </c>
      <c r="GQ770" s="1854" t="str">
        <f t="shared" si="180"/>
        <v/>
      </c>
      <c r="GR770" s="1854" t="str">
        <f t="shared" si="181"/>
        <v/>
      </c>
      <c r="GS770" s="1854" t="str">
        <f t="shared" si="182"/>
        <v/>
      </c>
      <c r="GT770" s="1854" t="str">
        <f t="shared" si="183"/>
        <v/>
      </c>
      <c r="GU770" s="1854" t="str">
        <f t="shared" si="184"/>
        <v/>
      </c>
      <c r="GV770" s="1854" t="str">
        <f t="shared" si="185"/>
        <v/>
      </c>
      <c r="GW770" s="1854" t="str">
        <f t="shared" si="186"/>
        <v/>
      </c>
      <c r="GX770" s="1854" t="str">
        <f t="shared" si="187"/>
        <v/>
      </c>
      <c r="GY770" s="1854" t="str">
        <f t="shared" si="188"/>
        <v/>
      </c>
      <c r="GZ770" s="1854" t="str">
        <f t="shared" si="189"/>
        <v/>
      </c>
      <c r="HA770" s="1854" t="str">
        <f t="shared" si="190"/>
        <v/>
      </c>
      <c r="HB770" s="1854" t="str">
        <f t="shared" si="191"/>
        <v/>
      </c>
      <c r="HC770" s="1854" t="str">
        <f t="shared" si="192"/>
        <v/>
      </c>
      <c r="HD770" s="1854" t="str">
        <f t="shared" si="193"/>
        <v/>
      </c>
      <c r="HE770" s="1854" t="str">
        <f t="shared" si="194"/>
        <v/>
      </c>
      <c r="HF770" s="1854" t="str">
        <f t="shared" si="195"/>
        <v/>
      </c>
      <c r="HG770" s="1854" t="str">
        <f t="shared" si="196"/>
        <v/>
      </c>
      <c r="HH770" s="1854" t="str">
        <f t="shared" si="197"/>
        <v/>
      </c>
      <c r="HI770" s="1854" t="str">
        <f t="shared" si="198"/>
        <v/>
      </c>
      <c r="HJ770" s="1854" t="str">
        <f t="shared" si="199"/>
        <v/>
      </c>
      <c r="HK770" s="1854" t="str">
        <f t="shared" si="200"/>
        <v/>
      </c>
      <c r="HL770" s="1854">
        <f t="shared" si="201"/>
        <v>2</v>
      </c>
      <c r="HM770" s="1854" t="str">
        <f t="shared" si="202"/>
        <v/>
      </c>
      <c r="HN770" s="1854" t="str">
        <f t="shared" si="203"/>
        <v/>
      </c>
      <c r="HO770" s="1854" t="str">
        <f t="shared" si="204"/>
        <v/>
      </c>
      <c r="HP770" s="1854" t="str">
        <f t="shared" si="205"/>
        <v/>
      </c>
      <c r="HQ770" s="1854" t="str">
        <f t="shared" si="206"/>
        <v/>
      </c>
      <c r="HR770" s="1854" t="str">
        <f t="shared" si="207"/>
        <v/>
      </c>
      <c r="HS770" s="1854" t="str">
        <f t="shared" si="208"/>
        <v/>
      </c>
      <c r="HT770" s="1854" t="str">
        <f t="shared" si="209"/>
        <v/>
      </c>
      <c r="HU770" s="1854" t="str">
        <f t="shared" si="210"/>
        <v/>
      </c>
      <c r="HV770" s="1854" t="str">
        <f t="shared" si="211"/>
        <v/>
      </c>
      <c r="HW770" s="1854" t="str">
        <f t="shared" si="212"/>
        <v/>
      </c>
      <c r="HX770" s="1854" t="str">
        <f t="shared" si="213"/>
        <v/>
      </c>
      <c r="HY770" s="1854" t="str">
        <f t="shared" si="214"/>
        <v/>
      </c>
      <c r="HZ770" s="1854" t="str">
        <f t="shared" si="215"/>
        <v/>
      </c>
      <c r="IA770" s="1854" t="str">
        <f t="shared" si="216"/>
        <v/>
      </c>
      <c r="IB770" s="1854" t="str">
        <f t="shared" si="217"/>
        <v/>
      </c>
      <c r="IC770" s="1854" t="str">
        <f t="shared" si="218"/>
        <v/>
      </c>
      <c r="ID770" s="1826" t="str">
        <f t="shared" si="219"/>
        <v/>
      </c>
      <c r="IE770" s="1826" t="str">
        <f t="shared" si="220"/>
        <v/>
      </c>
      <c r="IF770" s="1826" t="str">
        <f t="shared" si="221"/>
        <v/>
      </c>
      <c r="IG770" s="1826" t="str">
        <f t="shared" si="222"/>
        <v/>
      </c>
      <c r="IH770" s="1826" t="str">
        <f t="shared" si="223"/>
        <v/>
      </c>
      <c r="II770" s="683" t="str">
        <f t="shared" si="224"/>
        <v/>
      </c>
      <c r="IJ770" s="683" t="str">
        <f t="shared" si="225"/>
        <v/>
      </c>
      <c r="IK770" s="683" t="str">
        <f t="shared" si="226"/>
        <v/>
      </c>
      <c r="IL770" s="683" t="str">
        <f t="shared" si="227"/>
        <v/>
      </c>
      <c r="IM770" s="683" t="str">
        <f t="shared" si="228"/>
        <v/>
      </c>
      <c r="IN770" s="683" t="str">
        <f t="shared" si="229"/>
        <v/>
      </c>
      <c r="IO770" s="683" t="str">
        <f t="shared" si="230"/>
        <v/>
      </c>
      <c r="IP770" s="683" t="str">
        <f t="shared" si="231"/>
        <v/>
      </c>
      <c r="IQ770" s="683" t="str">
        <f t="shared" si="232"/>
        <v/>
      </c>
      <c r="IR770" s="683" t="str">
        <f t="shared" si="233"/>
        <v/>
      </c>
      <c r="IS770" s="683" t="str">
        <f t="shared" si="234"/>
        <v/>
      </c>
      <c r="IT770" s="683" t="str">
        <f t="shared" si="235"/>
        <v/>
      </c>
      <c r="IU770" s="683" t="str">
        <f t="shared" si="236"/>
        <v/>
      </c>
      <c r="IV770" s="683" t="str">
        <f t="shared" si="237"/>
        <v/>
      </c>
      <c r="IW770" s="683" t="str">
        <f t="shared" si="238"/>
        <v/>
      </c>
      <c r="IX770" s="683" t="str">
        <f t="shared" si="239"/>
        <v/>
      </c>
      <c r="IY770" s="683" t="str">
        <f t="shared" si="240"/>
        <v/>
      </c>
      <c r="IZ770" s="683" t="str">
        <f t="shared" si="241"/>
        <v/>
      </c>
      <c r="JA770" s="683" t="str">
        <f t="shared" si="242"/>
        <v/>
      </c>
      <c r="JB770" s="683" t="str">
        <f t="shared" si="243"/>
        <v/>
      </c>
      <c r="JC770" s="1824">
        <f t="shared" si="244"/>
        <v>0</v>
      </c>
      <c r="JD770" s="1824">
        <f t="shared" si="245"/>
        <v>0</v>
      </c>
      <c r="JE770" s="1824">
        <f t="shared" si="246"/>
        <v>0</v>
      </c>
      <c r="JF770" s="1824">
        <f t="shared" si="247"/>
        <v>0</v>
      </c>
      <c r="JG770" s="1824">
        <f t="shared" si="248"/>
        <v>0</v>
      </c>
      <c r="JH770" s="1824">
        <f t="shared" si="249"/>
        <v>0</v>
      </c>
      <c r="JI770" s="1824">
        <f t="shared" si="250"/>
        <v>0</v>
      </c>
      <c r="JJ770" s="1824">
        <f t="shared" si="251"/>
        <v>2</v>
      </c>
      <c r="JK770" s="1824">
        <f t="shared" si="252"/>
        <v>0</v>
      </c>
      <c r="JL770" s="1824">
        <f t="shared" si="253"/>
        <v>0</v>
      </c>
      <c r="JM770" s="1824">
        <f t="shared" si="254"/>
        <v>0</v>
      </c>
      <c r="JN770" s="1824">
        <f t="shared" si="255"/>
        <v>0</v>
      </c>
      <c r="JO770" s="1824">
        <f t="shared" si="256"/>
        <v>0</v>
      </c>
      <c r="JP770" s="1824">
        <f t="shared" si="257"/>
        <v>0</v>
      </c>
      <c r="JQ770" s="1824">
        <f t="shared" si="258"/>
        <v>0</v>
      </c>
    </row>
    <row r="771" spans="1:277" ht="12" customHeight="1">
      <c r="A771" s="1837" t="str">
        <f t="shared" si="1"/>
        <v/>
      </c>
      <c r="B771" s="1846" t="str">
        <f>'Part VI-Revenues &amp; Expenses'!B14</f>
        <v>60% AMI</v>
      </c>
      <c r="C771" s="1847">
        <f>'Part VI-Revenues &amp; Expenses'!C14</f>
        <v>2</v>
      </c>
      <c r="D771" s="1848">
        <f>'Part VI-Revenues &amp; Expenses'!D14</f>
        <v>2.5</v>
      </c>
      <c r="E771" s="1849">
        <f>'Part VI-Revenues &amp; Expenses'!E14</f>
        <v>10</v>
      </c>
      <c r="F771" s="1849">
        <f>'Part VI-Revenues &amp; Expenses'!F14</f>
        <v>1250</v>
      </c>
      <c r="G771" s="1849">
        <f>'Part VI-Revenues &amp; Expenses'!G14</f>
        <v>670</v>
      </c>
      <c r="H771" s="1849">
        <f>'Part VI-Revenues &amp; Expenses'!H14</f>
        <v>670</v>
      </c>
      <c r="I771" s="1849">
        <f>'Part VI-Revenues &amp; Expenses'!I14</f>
        <v>147</v>
      </c>
      <c r="J771" s="1850">
        <f>'Part VI-Revenues &amp; Expenses'!J14</f>
        <v>0</v>
      </c>
      <c r="K771" s="1851">
        <f t="shared" si="2"/>
        <v>523</v>
      </c>
      <c r="L771" s="1851">
        <f t="shared" si="3"/>
        <v>5230</v>
      </c>
      <c r="M771" s="1725" t="str">
        <f>'Part VI-Revenues &amp; Expenses'!M14</f>
        <v>No</v>
      </c>
      <c r="N771" s="1725" t="str">
        <f>'Part VI-Revenues &amp; Expenses'!N14</f>
        <v>Townhome</v>
      </c>
      <c r="O771" s="1725" t="str">
        <f>'Part VI-Revenues &amp; Expenses'!O14</f>
        <v>New Construction</v>
      </c>
      <c r="P771" s="1831" t="str">
        <f>'Part VI-Revenues &amp; Expenses'!P14</f>
        <v>No</v>
      </c>
      <c r="Q771" s="1852">
        <f>'Part VI-Revenues &amp; Expenses'!Q14</f>
        <v>26800</v>
      </c>
      <c r="R771" s="1853">
        <f>'Part VI-Revenues &amp; Expenses'!R14</f>
        <v>0.60035842293906805</v>
      </c>
      <c r="S771" s="1852">
        <f>'Part VI-Revenues &amp; Expenses'!S14</f>
        <v>0</v>
      </c>
      <c r="T771" s="1853">
        <f>'Part VI-Revenues &amp; Expenses'!T14</f>
        <v>0</v>
      </c>
      <c r="U771" s="1775"/>
      <c r="V771" s="1775"/>
      <c r="W771" s="683" t="str">
        <f t="shared" si="4"/>
        <v/>
      </c>
      <c r="X771" s="683" t="str">
        <f t="shared" si="5"/>
        <v/>
      </c>
      <c r="Y771" s="683">
        <f t="shared" si="6"/>
        <v>10</v>
      </c>
      <c r="Z771" s="683" t="str">
        <f t="shared" si="7"/>
        <v/>
      </c>
      <c r="AA771" s="683" t="str">
        <f t="shared" si="8"/>
        <v/>
      </c>
      <c r="AB771" s="683" t="str">
        <f t="shared" si="9"/>
        <v/>
      </c>
      <c r="AC771" s="683" t="str">
        <f t="shared" si="10"/>
        <v/>
      </c>
      <c r="AD771" s="683" t="str">
        <f t="shared" si="11"/>
        <v/>
      </c>
      <c r="AE771" s="683" t="str">
        <f t="shared" si="12"/>
        <v/>
      </c>
      <c r="AF771" s="683" t="str">
        <f t="shared" si="13"/>
        <v/>
      </c>
      <c r="AG771" s="683" t="str">
        <f t="shared" si="14"/>
        <v/>
      </c>
      <c r="AH771" s="683" t="str">
        <f t="shared" si="15"/>
        <v/>
      </c>
      <c r="AI771" s="683" t="str">
        <f t="shared" si="16"/>
        <v/>
      </c>
      <c r="AJ771" s="683" t="str">
        <f t="shared" si="17"/>
        <v/>
      </c>
      <c r="AK771" s="683" t="str">
        <f t="shared" si="18"/>
        <v/>
      </c>
      <c r="AL771" s="683" t="str">
        <f t="shared" si="19"/>
        <v/>
      </c>
      <c r="AM771" s="683" t="str">
        <f t="shared" si="20"/>
        <v/>
      </c>
      <c r="AN771" s="683" t="str">
        <f t="shared" si="21"/>
        <v/>
      </c>
      <c r="AO771" s="683" t="str">
        <f t="shared" si="22"/>
        <v/>
      </c>
      <c r="AP771" s="683" t="str">
        <f t="shared" si="23"/>
        <v/>
      </c>
      <c r="AQ771" s="683" t="str">
        <f t="shared" si="24"/>
        <v/>
      </c>
      <c r="AR771" s="683" t="str">
        <f t="shared" si="25"/>
        <v/>
      </c>
      <c r="AS771" s="683" t="str">
        <f t="shared" si="26"/>
        <v/>
      </c>
      <c r="AT771" s="683" t="str">
        <f t="shared" si="27"/>
        <v/>
      </c>
      <c r="AU771" s="683" t="str">
        <f t="shared" si="28"/>
        <v/>
      </c>
      <c r="AV771" s="683" t="str">
        <f t="shared" si="29"/>
        <v/>
      </c>
      <c r="AW771" s="683" t="str">
        <f t="shared" si="30"/>
        <v/>
      </c>
      <c r="AX771" s="683" t="str">
        <f t="shared" si="31"/>
        <v/>
      </c>
      <c r="AY771" s="683" t="str">
        <f t="shared" si="32"/>
        <v/>
      </c>
      <c r="AZ771" s="683" t="str">
        <f t="shared" si="33"/>
        <v/>
      </c>
      <c r="BA771" s="683" t="str">
        <f t="shared" si="34"/>
        <v/>
      </c>
      <c r="BB771" s="683" t="str">
        <f t="shared" si="35"/>
        <v/>
      </c>
      <c r="BC771" s="683" t="str">
        <f t="shared" si="36"/>
        <v/>
      </c>
      <c r="BD771" s="683" t="str">
        <f t="shared" si="37"/>
        <v/>
      </c>
      <c r="BE771" s="683" t="str">
        <f t="shared" si="38"/>
        <v/>
      </c>
      <c r="BF771" s="683" t="str">
        <f t="shared" si="39"/>
        <v/>
      </c>
      <c r="BG771" s="683" t="str">
        <f t="shared" si="40"/>
        <v/>
      </c>
      <c r="BH771" s="683" t="str">
        <f t="shared" si="41"/>
        <v/>
      </c>
      <c r="BI771" s="683" t="str">
        <f t="shared" si="42"/>
        <v/>
      </c>
      <c r="BJ771" s="683" t="str">
        <f t="shared" si="43"/>
        <v/>
      </c>
      <c r="BK771" s="683" t="str">
        <f t="shared" si="44"/>
        <v/>
      </c>
      <c r="BL771" s="683" t="str">
        <f t="shared" si="45"/>
        <v/>
      </c>
      <c r="BM771" s="683" t="str">
        <f t="shared" si="46"/>
        <v/>
      </c>
      <c r="BN771" s="683" t="str">
        <f t="shared" si="47"/>
        <v/>
      </c>
      <c r="BO771" s="683" t="str">
        <f t="shared" si="48"/>
        <v/>
      </c>
      <c r="BP771" s="683" t="str">
        <f t="shared" si="49"/>
        <v/>
      </c>
      <c r="BQ771" s="683" t="str">
        <f t="shared" si="50"/>
        <v/>
      </c>
      <c r="BR771" s="683" t="str">
        <f t="shared" si="51"/>
        <v/>
      </c>
      <c r="BS771" s="683" t="str">
        <f t="shared" si="52"/>
        <v/>
      </c>
      <c r="BT771" s="683" t="str">
        <f t="shared" si="53"/>
        <v/>
      </c>
      <c r="BU771" s="683" t="str">
        <f t="shared" si="54"/>
        <v/>
      </c>
      <c r="BV771" s="683" t="str">
        <f t="shared" si="55"/>
        <v/>
      </c>
      <c r="BW771" s="683" t="str">
        <f t="shared" si="56"/>
        <v/>
      </c>
      <c r="BX771" s="683" t="str">
        <f t="shared" si="57"/>
        <v/>
      </c>
      <c r="BY771" s="683" t="str">
        <f t="shared" si="58"/>
        <v/>
      </c>
      <c r="BZ771" s="683" t="str">
        <f t="shared" si="59"/>
        <v/>
      </c>
      <c r="CA771" s="683" t="str">
        <f t="shared" si="60"/>
        <v/>
      </c>
      <c r="CB771" s="683">
        <f t="shared" si="61"/>
        <v>12500</v>
      </c>
      <c r="CC771" s="683" t="str">
        <f t="shared" si="62"/>
        <v/>
      </c>
      <c r="CD771" s="683" t="str">
        <f t="shared" si="63"/>
        <v/>
      </c>
      <c r="CE771" s="683" t="str">
        <f t="shared" si="64"/>
        <v/>
      </c>
      <c r="CF771" s="683" t="str">
        <f t="shared" si="65"/>
        <v/>
      </c>
      <c r="CG771" s="683" t="str">
        <f t="shared" si="66"/>
        <v/>
      </c>
      <c r="CH771" s="683" t="str">
        <f t="shared" si="67"/>
        <v/>
      </c>
      <c r="CI771" s="683" t="str">
        <f t="shared" si="68"/>
        <v/>
      </c>
      <c r="CJ771" s="683" t="str">
        <f t="shared" si="69"/>
        <v/>
      </c>
      <c r="CK771" s="683" t="str">
        <f t="shared" si="70"/>
        <v/>
      </c>
      <c r="CL771" s="683" t="str">
        <f t="shared" si="71"/>
        <v/>
      </c>
      <c r="CM771" s="683" t="str">
        <f t="shared" si="72"/>
        <v/>
      </c>
      <c r="CN771" s="683" t="str">
        <f t="shared" si="73"/>
        <v/>
      </c>
      <c r="CO771" s="683" t="str">
        <f t="shared" si="74"/>
        <v/>
      </c>
      <c r="CP771" s="683" t="str">
        <f t="shared" si="75"/>
        <v/>
      </c>
      <c r="CQ771" s="683" t="str">
        <f t="shared" si="76"/>
        <v/>
      </c>
      <c r="CR771" s="683" t="str">
        <f t="shared" si="77"/>
        <v/>
      </c>
      <c r="CS771" s="683" t="str">
        <f t="shared" si="78"/>
        <v/>
      </c>
      <c r="CT771" s="683" t="str">
        <f t="shared" si="79"/>
        <v/>
      </c>
      <c r="CU771" s="683" t="str">
        <f t="shared" si="80"/>
        <v/>
      </c>
      <c r="CV771" s="683" t="str">
        <f t="shared" si="81"/>
        <v/>
      </c>
      <c r="CW771" s="683" t="str">
        <f t="shared" si="82"/>
        <v/>
      </c>
      <c r="CX771" s="683" t="str">
        <f t="shared" si="83"/>
        <v/>
      </c>
      <c r="CY771" s="683" t="str">
        <f t="shared" si="84"/>
        <v/>
      </c>
      <c r="CZ771" s="683" t="str">
        <f t="shared" si="85"/>
        <v/>
      </c>
      <c r="DA771" s="683" t="str">
        <f t="shared" si="86"/>
        <v/>
      </c>
      <c r="DB771" s="683" t="str">
        <f t="shared" si="87"/>
        <v/>
      </c>
      <c r="DC771" s="683" t="str">
        <f t="shared" si="88"/>
        <v/>
      </c>
      <c r="DD771" s="683" t="str">
        <f t="shared" si="89"/>
        <v/>
      </c>
      <c r="DE771" s="683" t="str">
        <f t="shared" si="90"/>
        <v/>
      </c>
      <c r="DF771" s="683">
        <f t="shared" si="91"/>
        <v>10</v>
      </c>
      <c r="DG771" s="683" t="str">
        <f t="shared" si="92"/>
        <v/>
      </c>
      <c r="DH771" s="683" t="str">
        <f t="shared" si="93"/>
        <v/>
      </c>
      <c r="DI771" s="683" t="str">
        <f t="shared" si="94"/>
        <v/>
      </c>
      <c r="DJ771" s="683" t="str">
        <f t="shared" si="95"/>
        <v/>
      </c>
      <c r="DK771" s="683" t="str">
        <f t="shared" si="96"/>
        <v/>
      </c>
      <c r="DL771" s="683" t="str">
        <f t="shared" si="97"/>
        <v/>
      </c>
      <c r="DM771" s="683" t="str">
        <f t="shared" si="98"/>
        <v/>
      </c>
      <c r="DN771" s="683" t="str">
        <f t="shared" si="99"/>
        <v/>
      </c>
      <c r="DO771" s="683" t="str">
        <f t="shared" si="100"/>
        <v/>
      </c>
      <c r="DP771" s="683" t="str">
        <f t="shared" si="101"/>
        <v/>
      </c>
      <c r="DQ771" s="683" t="str">
        <f t="shared" si="102"/>
        <v/>
      </c>
      <c r="DR771" s="683" t="str">
        <f t="shared" si="103"/>
        <v/>
      </c>
      <c r="DS771" s="683" t="str">
        <f t="shared" si="104"/>
        <v/>
      </c>
      <c r="DT771" s="683" t="str">
        <f t="shared" si="105"/>
        <v/>
      </c>
      <c r="DU771" s="683" t="str">
        <f t="shared" si="106"/>
        <v/>
      </c>
      <c r="DV771" s="683" t="str">
        <f t="shared" si="107"/>
        <v/>
      </c>
      <c r="DW771" s="683" t="str">
        <f t="shared" si="108"/>
        <v/>
      </c>
      <c r="DX771" s="683" t="str">
        <f t="shared" si="109"/>
        <v/>
      </c>
      <c r="DY771" s="683" t="str">
        <f t="shared" si="110"/>
        <v/>
      </c>
      <c r="DZ771" s="683" t="str">
        <f t="shared" si="111"/>
        <v/>
      </c>
      <c r="EA771" s="683" t="str">
        <f t="shared" si="112"/>
        <v/>
      </c>
      <c r="EB771" s="683" t="str">
        <f t="shared" si="113"/>
        <v/>
      </c>
      <c r="EC771" s="683" t="str">
        <f t="shared" si="114"/>
        <v/>
      </c>
      <c r="ED771" s="683" t="str">
        <f t="shared" si="115"/>
        <v/>
      </c>
      <c r="EE771" s="683" t="str">
        <f t="shared" si="116"/>
        <v/>
      </c>
      <c r="EF771" s="683" t="str">
        <f t="shared" si="117"/>
        <v/>
      </c>
      <c r="EG771" s="683" t="str">
        <f t="shared" si="118"/>
        <v/>
      </c>
      <c r="EH771" s="683" t="str">
        <f t="shared" si="119"/>
        <v/>
      </c>
      <c r="EI771" s="683" t="str">
        <f t="shared" si="120"/>
        <v/>
      </c>
      <c r="EJ771" s="683" t="str">
        <f t="shared" si="121"/>
        <v/>
      </c>
      <c r="EK771" s="683" t="str">
        <f t="shared" si="122"/>
        <v/>
      </c>
      <c r="EL771" s="683" t="str">
        <f t="shared" si="123"/>
        <v/>
      </c>
      <c r="EM771" s="683" t="str">
        <f t="shared" si="124"/>
        <v/>
      </c>
      <c r="EN771" s="683" t="str">
        <f t="shared" si="125"/>
        <v/>
      </c>
      <c r="EO771" s="683" t="str">
        <f t="shared" si="126"/>
        <v/>
      </c>
      <c r="EP771" s="683" t="str">
        <f t="shared" si="127"/>
        <v/>
      </c>
      <c r="EQ771" s="683" t="str">
        <f t="shared" si="128"/>
        <v/>
      </c>
      <c r="ER771" s="683" t="str">
        <f t="shared" si="129"/>
        <v/>
      </c>
      <c r="ES771" s="683" t="str">
        <f t="shared" si="130"/>
        <v/>
      </c>
      <c r="ET771" s="683" t="str">
        <f t="shared" si="131"/>
        <v/>
      </c>
      <c r="EU771" s="683" t="str">
        <f t="shared" si="132"/>
        <v/>
      </c>
      <c r="EV771" s="683" t="str">
        <f t="shared" si="133"/>
        <v/>
      </c>
      <c r="EW771" s="1854" t="str">
        <f t="shared" si="134"/>
        <v/>
      </c>
      <c r="EX771" s="1854" t="str">
        <f t="shared" si="135"/>
        <v/>
      </c>
      <c r="EY771" s="1854" t="str">
        <f t="shared" si="136"/>
        <v/>
      </c>
      <c r="EZ771" s="1854" t="str">
        <f t="shared" si="137"/>
        <v/>
      </c>
      <c r="FA771" s="1854" t="str">
        <f t="shared" si="138"/>
        <v/>
      </c>
      <c r="FB771" s="1854" t="str">
        <f t="shared" si="139"/>
        <v/>
      </c>
      <c r="FC771" s="1854" t="str">
        <f t="shared" si="140"/>
        <v/>
      </c>
      <c r="FD771" s="1854" t="str">
        <f t="shared" si="141"/>
        <v/>
      </c>
      <c r="FE771" s="1854" t="str">
        <f t="shared" si="142"/>
        <v/>
      </c>
      <c r="FF771" s="1854" t="str">
        <f t="shared" si="143"/>
        <v/>
      </c>
      <c r="FG771" s="1854" t="str">
        <f t="shared" si="144"/>
        <v/>
      </c>
      <c r="FH771" s="1854" t="str">
        <f t="shared" si="145"/>
        <v/>
      </c>
      <c r="FI771" s="1854" t="str">
        <f t="shared" si="146"/>
        <v/>
      </c>
      <c r="FJ771" s="1854" t="str">
        <f t="shared" si="147"/>
        <v/>
      </c>
      <c r="FK771" s="1854" t="str">
        <f t="shared" si="148"/>
        <v/>
      </c>
      <c r="FL771" s="1854" t="str">
        <f t="shared" si="149"/>
        <v/>
      </c>
      <c r="FM771" s="1854" t="str">
        <f t="shared" si="150"/>
        <v/>
      </c>
      <c r="FN771" s="1854" t="str">
        <f t="shared" si="151"/>
        <v/>
      </c>
      <c r="FO771" s="1854" t="str">
        <f t="shared" si="152"/>
        <v/>
      </c>
      <c r="FP771" s="1854" t="str">
        <f t="shared" si="153"/>
        <v/>
      </c>
      <c r="FQ771" s="1854" t="str">
        <f t="shared" si="154"/>
        <v/>
      </c>
      <c r="FR771" s="1854" t="str">
        <f t="shared" si="155"/>
        <v/>
      </c>
      <c r="FS771" s="1854" t="str">
        <f t="shared" si="156"/>
        <v/>
      </c>
      <c r="FT771" s="1854" t="str">
        <f t="shared" si="157"/>
        <v/>
      </c>
      <c r="FU771" s="1854" t="str">
        <f t="shared" si="158"/>
        <v/>
      </c>
      <c r="FV771" s="1854" t="str">
        <f t="shared" si="159"/>
        <v/>
      </c>
      <c r="FW771" s="1854" t="str">
        <f t="shared" si="160"/>
        <v/>
      </c>
      <c r="FX771" s="1854" t="str">
        <f t="shared" si="161"/>
        <v/>
      </c>
      <c r="FY771" s="1854" t="str">
        <f t="shared" si="162"/>
        <v/>
      </c>
      <c r="FZ771" s="1854" t="str">
        <f t="shared" si="163"/>
        <v/>
      </c>
      <c r="GA771" s="1854" t="str">
        <f t="shared" si="164"/>
        <v/>
      </c>
      <c r="GB771" s="1854" t="str">
        <f t="shared" si="165"/>
        <v/>
      </c>
      <c r="GC771" s="1854" t="str">
        <f t="shared" si="166"/>
        <v/>
      </c>
      <c r="GD771" s="1854" t="str">
        <f t="shared" si="167"/>
        <v/>
      </c>
      <c r="GE771" s="1854" t="str">
        <f t="shared" si="168"/>
        <v/>
      </c>
      <c r="GF771" s="1854" t="str">
        <f t="shared" si="169"/>
        <v/>
      </c>
      <c r="GG771" s="1854" t="str">
        <f t="shared" si="170"/>
        <v/>
      </c>
      <c r="GH771" s="1854">
        <f t="shared" si="171"/>
        <v>10</v>
      </c>
      <c r="GI771" s="1854" t="str">
        <f t="shared" si="172"/>
        <v/>
      </c>
      <c r="GJ771" s="1854" t="str">
        <f t="shared" si="173"/>
        <v/>
      </c>
      <c r="GK771" s="1854" t="str">
        <f t="shared" si="174"/>
        <v/>
      </c>
      <c r="GL771" s="1854" t="str">
        <f t="shared" si="175"/>
        <v/>
      </c>
      <c r="GM771" s="1854" t="str">
        <f t="shared" si="176"/>
        <v/>
      </c>
      <c r="GN771" s="1854" t="str">
        <f t="shared" si="177"/>
        <v/>
      </c>
      <c r="GO771" s="1854" t="str">
        <f t="shared" si="178"/>
        <v/>
      </c>
      <c r="GP771" s="1854" t="str">
        <f t="shared" si="179"/>
        <v/>
      </c>
      <c r="GQ771" s="1854" t="str">
        <f t="shared" si="180"/>
        <v/>
      </c>
      <c r="GR771" s="1854" t="str">
        <f t="shared" si="181"/>
        <v/>
      </c>
      <c r="GS771" s="1854" t="str">
        <f t="shared" si="182"/>
        <v/>
      </c>
      <c r="GT771" s="1854" t="str">
        <f t="shared" si="183"/>
        <v/>
      </c>
      <c r="GU771" s="1854" t="str">
        <f t="shared" si="184"/>
        <v/>
      </c>
      <c r="GV771" s="1854" t="str">
        <f t="shared" si="185"/>
        <v/>
      </c>
      <c r="GW771" s="1854" t="str">
        <f t="shared" si="186"/>
        <v/>
      </c>
      <c r="GX771" s="1854" t="str">
        <f t="shared" si="187"/>
        <v/>
      </c>
      <c r="GY771" s="1854" t="str">
        <f t="shared" si="188"/>
        <v/>
      </c>
      <c r="GZ771" s="1854" t="str">
        <f t="shared" si="189"/>
        <v/>
      </c>
      <c r="HA771" s="1854" t="str">
        <f t="shared" si="190"/>
        <v/>
      </c>
      <c r="HB771" s="1854" t="str">
        <f t="shared" si="191"/>
        <v/>
      </c>
      <c r="HC771" s="1854" t="str">
        <f t="shared" si="192"/>
        <v/>
      </c>
      <c r="HD771" s="1854" t="str">
        <f t="shared" si="193"/>
        <v/>
      </c>
      <c r="HE771" s="1854" t="str">
        <f t="shared" si="194"/>
        <v/>
      </c>
      <c r="HF771" s="1854" t="str">
        <f t="shared" si="195"/>
        <v/>
      </c>
      <c r="HG771" s="1854" t="str">
        <f t="shared" si="196"/>
        <v/>
      </c>
      <c r="HH771" s="1854" t="str">
        <f t="shared" si="197"/>
        <v/>
      </c>
      <c r="HI771" s="1854" t="str">
        <f t="shared" si="198"/>
        <v/>
      </c>
      <c r="HJ771" s="1854" t="str">
        <f t="shared" si="199"/>
        <v/>
      </c>
      <c r="HK771" s="1854" t="str">
        <f t="shared" si="200"/>
        <v/>
      </c>
      <c r="HL771" s="1854" t="str">
        <f t="shared" si="201"/>
        <v/>
      </c>
      <c r="HM771" s="1854" t="str">
        <f t="shared" si="202"/>
        <v/>
      </c>
      <c r="HN771" s="1854" t="str">
        <f t="shared" si="203"/>
        <v/>
      </c>
      <c r="HO771" s="1854" t="str">
        <f t="shared" si="204"/>
        <v/>
      </c>
      <c r="HP771" s="1854" t="str">
        <f t="shared" si="205"/>
        <v/>
      </c>
      <c r="HQ771" s="1854" t="str">
        <f t="shared" si="206"/>
        <v/>
      </c>
      <c r="HR771" s="1854" t="str">
        <f t="shared" si="207"/>
        <v/>
      </c>
      <c r="HS771" s="1854" t="str">
        <f t="shared" si="208"/>
        <v/>
      </c>
      <c r="HT771" s="1854" t="str">
        <f t="shared" si="209"/>
        <v/>
      </c>
      <c r="HU771" s="1854" t="str">
        <f t="shared" si="210"/>
        <v/>
      </c>
      <c r="HV771" s="1854" t="str">
        <f t="shared" si="211"/>
        <v/>
      </c>
      <c r="HW771" s="1854" t="str">
        <f t="shared" si="212"/>
        <v/>
      </c>
      <c r="HX771" s="1854" t="str">
        <f t="shared" si="213"/>
        <v/>
      </c>
      <c r="HY771" s="1854" t="str">
        <f t="shared" si="214"/>
        <v/>
      </c>
      <c r="HZ771" s="1854" t="str">
        <f t="shared" si="215"/>
        <v/>
      </c>
      <c r="IA771" s="1854" t="str">
        <f t="shared" si="216"/>
        <v/>
      </c>
      <c r="IB771" s="1854" t="str">
        <f t="shared" si="217"/>
        <v/>
      </c>
      <c r="IC771" s="1854" t="str">
        <f t="shared" si="218"/>
        <v/>
      </c>
      <c r="ID771" s="1826" t="str">
        <f t="shared" si="219"/>
        <v/>
      </c>
      <c r="IE771" s="1826" t="str">
        <f t="shared" si="220"/>
        <v/>
      </c>
      <c r="IF771" s="1826" t="str">
        <f t="shared" si="221"/>
        <v/>
      </c>
      <c r="IG771" s="1826" t="str">
        <f t="shared" si="222"/>
        <v/>
      </c>
      <c r="IH771" s="1826" t="str">
        <f t="shared" si="223"/>
        <v/>
      </c>
      <c r="II771" s="683" t="str">
        <f t="shared" si="224"/>
        <v/>
      </c>
      <c r="IJ771" s="683" t="str">
        <f t="shared" si="225"/>
        <v/>
      </c>
      <c r="IK771" s="683" t="str">
        <f t="shared" si="226"/>
        <v/>
      </c>
      <c r="IL771" s="683" t="str">
        <f t="shared" si="227"/>
        <v/>
      </c>
      <c r="IM771" s="683" t="str">
        <f t="shared" si="228"/>
        <v/>
      </c>
      <c r="IN771" s="683" t="str">
        <f t="shared" si="229"/>
        <v/>
      </c>
      <c r="IO771" s="683" t="str">
        <f t="shared" si="230"/>
        <v/>
      </c>
      <c r="IP771" s="683" t="str">
        <f t="shared" si="231"/>
        <v/>
      </c>
      <c r="IQ771" s="683" t="str">
        <f t="shared" si="232"/>
        <v/>
      </c>
      <c r="IR771" s="683" t="str">
        <f t="shared" si="233"/>
        <v/>
      </c>
      <c r="IS771" s="683" t="str">
        <f t="shared" si="234"/>
        <v/>
      </c>
      <c r="IT771" s="683" t="str">
        <f t="shared" si="235"/>
        <v/>
      </c>
      <c r="IU771" s="683" t="str">
        <f t="shared" si="236"/>
        <v/>
      </c>
      <c r="IV771" s="683" t="str">
        <f t="shared" si="237"/>
        <v/>
      </c>
      <c r="IW771" s="683" t="str">
        <f t="shared" si="238"/>
        <v/>
      </c>
      <c r="IX771" s="683" t="str">
        <f t="shared" si="239"/>
        <v/>
      </c>
      <c r="IY771" s="683" t="str">
        <f t="shared" si="240"/>
        <v/>
      </c>
      <c r="IZ771" s="683" t="str">
        <f t="shared" si="241"/>
        <v/>
      </c>
      <c r="JA771" s="683" t="str">
        <f t="shared" si="242"/>
        <v/>
      </c>
      <c r="JB771" s="683" t="str">
        <f t="shared" si="243"/>
        <v/>
      </c>
      <c r="JC771" s="1824">
        <f t="shared" si="244"/>
        <v>0</v>
      </c>
      <c r="JD771" s="1824">
        <f t="shared" si="245"/>
        <v>0</v>
      </c>
      <c r="JE771" s="1824">
        <f t="shared" si="246"/>
        <v>0</v>
      </c>
      <c r="JF771" s="1824">
        <f t="shared" si="247"/>
        <v>0</v>
      </c>
      <c r="JG771" s="1824">
        <f t="shared" si="248"/>
        <v>0</v>
      </c>
      <c r="JH771" s="1824">
        <f t="shared" si="249"/>
        <v>0</v>
      </c>
      <c r="JI771" s="1824">
        <f t="shared" si="250"/>
        <v>0</v>
      </c>
      <c r="JJ771" s="1824">
        <f t="shared" si="251"/>
        <v>10</v>
      </c>
      <c r="JK771" s="1824">
        <f t="shared" si="252"/>
        <v>0</v>
      </c>
      <c r="JL771" s="1824">
        <f t="shared" si="253"/>
        <v>0</v>
      </c>
      <c r="JM771" s="1824">
        <f t="shared" si="254"/>
        <v>0</v>
      </c>
      <c r="JN771" s="1824">
        <f t="shared" si="255"/>
        <v>0</v>
      </c>
      <c r="JO771" s="1824">
        <f t="shared" si="256"/>
        <v>0</v>
      </c>
      <c r="JP771" s="1824">
        <f t="shared" si="257"/>
        <v>0</v>
      </c>
      <c r="JQ771" s="1824">
        <f t="shared" si="258"/>
        <v>0</v>
      </c>
    </row>
    <row r="772" spans="1:277" ht="12" customHeight="1">
      <c r="A772" s="1837" t="str">
        <f t="shared" si="1"/>
        <v/>
      </c>
      <c r="B772" s="1846" t="str">
        <f>'Part VI-Revenues &amp; Expenses'!B15</f>
        <v>50% AMI</v>
      </c>
      <c r="C772" s="1847">
        <f>'Part VI-Revenues &amp; Expenses'!C15</f>
        <v>2</v>
      </c>
      <c r="D772" s="1848">
        <f>'Part VI-Revenues &amp; Expenses'!D15</f>
        <v>2.5</v>
      </c>
      <c r="E772" s="1849">
        <f>'Part VI-Revenues &amp; Expenses'!E15</f>
        <v>5</v>
      </c>
      <c r="F772" s="1849">
        <f>'Part VI-Revenues &amp; Expenses'!F15</f>
        <v>1250</v>
      </c>
      <c r="G772" s="1849">
        <f>'Part VI-Revenues &amp; Expenses'!G15</f>
        <v>558</v>
      </c>
      <c r="H772" s="1849">
        <f>'Part VI-Revenues &amp; Expenses'!H15</f>
        <v>777</v>
      </c>
      <c r="I772" s="1849">
        <f>'Part VI-Revenues &amp; Expenses'!I15</f>
        <v>147</v>
      </c>
      <c r="J772" s="1850" t="str">
        <f>'Part VI-Revenues &amp; Expenses'!J15</f>
        <v>PHA PBRA</v>
      </c>
      <c r="K772" s="1851">
        <f t="shared" si="2"/>
        <v>630</v>
      </c>
      <c r="L772" s="1851">
        <f t="shared" si="3"/>
        <v>3150</v>
      </c>
      <c r="M772" s="1725" t="str">
        <f>'Part VI-Revenues &amp; Expenses'!M15</f>
        <v>No</v>
      </c>
      <c r="N772" s="1725" t="str">
        <f>'Part VI-Revenues &amp; Expenses'!N15</f>
        <v>Townhome</v>
      </c>
      <c r="O772" s="1725" t="str">
        <f>'Part VI-Revenues &amp; Expenses'!O15</f>
        <v>New Construction</v>
      </c>
      <c r="P772" s="1831" t="str">
        <f>'Part VI-Revenues &amp; Expenses'!P15</f>
        <v>No</v>
      </c>
      <c r="Q772" s="1852">
        <f>'Part VI-Revenues &amp; Expenses'!Q15</f>
        <v>31080</v>
      </c>
      <c r="R772" s="1853">
        <f>'Part VI-Revenues &amp; Expenses'!R15</f>
        <v>0.69623655913978499</v>
      </c>
      <c r="S772" s="1852">
        <f>'Part VI-Revenues &amp; Expenses'!S15</f>
        <v>0</v>
      </c>
      <c r="T772" s="1853">
        <f>'Part VI-Revenues &amp; Expenses'!T15</f>
        <v>0</v>
      </c>
      <c r="U772" s="1775"/>
      <c r="V772" s="1775"/>
      <c r="W772" s="683" t="str">
        <f t="shared" si="4"/>
        <v/>
      </c>
      <c r="X772" s="683" t="str">
        <f t="shared" si="5"/>
        <v/>
      </c>
      <c r="Y772" s="683" t="str">
        <f t="shared" si="6"/>
        <v/>
      </c>
      <c r="Z772" s="683" t="str">
        <f t="shared" si="7"/>
        <v/>
      </c>
      <c r="AA772" s="683" t="str">
        <f t="shared" si="8"/>
        <v/>
      </c>
      <c r="AB772" s="683" t="str">
        <f t="shared" si="9"/>
        <v/>
      </c>
      <c r="AC772" s="683" t="str">
        <f t="shared" si="10"/>
        <v/>
      </c>
      <c r="AD772" s="683">
        <f t="shared" si="11"/>
        <v>5</v>
      </c>
      <c r="AE772" s="683" t="str">
        <f t="shared" si="12"/>
        <v/>
      </c>
      <c r="AF772" s="683" t="str">
        <f t="shared" si="13"/>
        <v/>
      </c>
      <c r="AG772" s="683" t="str">
        <f t="shared" si="14"/>
        <v/>
      </c>
      <c r="AH772" s="683" t="str">
        <f t="shared" si="15"/>
        <v/>
      </c>
      <c r="AI772" s="683" t="str">
        <f t="shared" si="16"/>
        <v/>
      </c>
      <c r="AJ772" s="683" t="str">
        <f t="shared" si="17"/>
        <v/>
      </c>
      <c r="AK772" s="683" t="str">
        <f t="shared" si="18"/>
        <v/>
      </c>
      <c r="AL772" s="683" t="str">
        <f t="shared" si="19"/>
        <v/>
      </c>
      <c r="AM772" s="683" t="str">
        <f t="shared" si="20"/>
        <v/>
      </c>
      <c r="AN772" s="683" t="str">
        <f t="shared" si="21"/>
        <v/>
      </c>
      <c r="AO772" s="683" t="str">
        <f t="shared" si="22"/>
        <v/>
      </c>
      <c r="AP772" s="683" t="str">
        <f t="shared" si="23"/>
        <v/>
      </c>
      <c r="AQ772" s="683" t="str">
        <f t="shared" si="24"/>
        <v/>
      </c>
      <c r="AR772" s="683" t="str">
        <f t="shared" si="25"/>
        <v/>
      </c>
      <c r="AS772" s="683" t="str">
        <f t="shared" si="26"/>
        <v/>
      </c>
      <c r="AT772" s="683" t="str">
        <f t="shared" si="27"/>
        <v/>
      </c>
      <c r="AU772" s="683" t="str">
        <f t="shared" si="28"/>
        <v/>
      </c>
      <c r="AV772" s="683" t="str">
        <f t="shared" si="29"/>
        <v/>
      </c>
      <c r="AW772" s="683" t="str">
        <f t="shared" si="30"/>
        <v/>
      </c>
      <c r="AX772" s="683">
        <f t="shared" si="31"/>
        <v>5</v>
      </c>
      <c r="AY772" s="683" t="str">
        <f t="shared" si="32"/>
        <v/>
      </c>
      <c r="AZ772" s="683" t="str">
        <f t="shared" si="33"/>
        <v/>
      </c>
      <c r="BA772" s="683" t="str">
        <f t="shared" si="34"/>
        <v/>
      </c>
      <c r="BB772" s="683" t="str">
        <f t="shared" si="35"/>
        <v/>
      </c>
      <c r="BC772" s="683" t="str">
        <f t="shared" si="36"/>
        <v/>
      </c>
      <c r="BD772" s="683" t="str">
        <f t="shared" si="37"/>
        <v/>
      </c>
      <c r="BE772" s="683" t="str">
        <f t="shared" si="38"/>
        <v/>
      </c>
      <c r="BF772" s="683" t="str">
        <f t="shared" si="39"/>
        <v/>
      </c>
      <c r="BG772" s="683" t="str">
        <f t="shared" si="40"/>
        <v/>
      </c>
      <c r="BH772" s="683" t="str">
        <f t="shared" si="41"/>
        <v/>
      </c>
      <c r="BI772" s="683" t="str">
        <f t="shared" si="42"/>
        <v/>
      </c>
      <c r="BJ772" s="683" t="str">
        <f t="shared" si="43"/>
        <v/>
      </c>
      <c r="BK772" s="683" t="str">
        <f t="shared" si="44"/>
        <v/>
      </c>
      <c r="BL772" s="683" t="str">
        <f t="shared" si="45"/>
        <v/>
      </c>
      <c r="BM772" s="683" t="str">
        <f t="shared" si="46"/>
        <v/>
      </c>
      <c r="BN772" s="683" t="str">
        <f t="shared" si="47"/>
        <v/>
      </c>
      <c r="BO772" s="683" t="str">
        <f t="shared" si="48"/>
        <v/>
      </c>
      <c r="BP772" s="683" t="str">
        <f t="shared" si="49"/>
        <v/>
      </c>
      <c r="BQ772" s="683" t="str">
        <f t="shared" si="50"/>
        <v/>
      </c>
      <c r="BR772" s="683" t="str">
        <f t="shared" si="51"/>
        <v/>
      </c>
      <c r="BS772" s="683" t="str">
        <f t="shared" si="52"/>
        <v/>
      </c>
      <c r="BT772" s="683" t="str">
        <f t="shared" si="53"/>
        <v/>
      </c>
      <c r="BU772" s="683" t="str">
        <f t="shared" si="54"/>
        <v/>
      </c>
      <c r="BV772" s="683" t="str">
        <f t="shared" si="55"/>
        <v/>
      </c>
      <c r="BW772" s="683" t="str">
        <f t="shared" si="56"/>
        <v/>
      </c>
      <c r="BX772" s="683" t="str">
        <f t="shared" si="57"/>
        <v/>
      </c>
      <c r="BY772" s="683" t="str">
        <f t="shared" si="58"/>
        <v/>
      </c>
      <c r="BZ772" s="683" t="str">
        <f t="shared" si="59"/>
        <v/>
      </c>
      <c r="CA772" s="683" t="str">
        <f t="shared" si="60"/>
        <v/>
      </c>
      <c r="CB772" s="683" t="str">
        <f t="shared" si="61"/>
        <v/>
      </c>
      <c r="CC772" s="683" t="str">
        <f t="shared" si="62"/>
        <v/>
      </c>
      <c r="CD772" s="683" t="str">
        <f t="shared" si="63"/>
        <v/>
      </c>
      <c r="CE772" s="683" t="str">
        <f t="shared" si="64"/>
        <v/>
      </c>
      <c r="CF772" s="683" t="str">
        <f t="shared" si="65"/>
        <v/>
      </c>
      <c r="CG772" s="683">
        <f t="shared" si="66"/>
        <v>6250</v>
      </c>
      <c r="CH772" s="683" t="str">
        <f t="shared" si="67"/>
        <v/>
      </c>
      <c r="CI772" s="683" t="str">
        <f t="shared" si="68"/>
        <v/>
      </c>
      <c r="CJ772" s="683" t="str">
        <f t="shared" si="69"/>
        <v/>
      </c>
      <c r="CK772" s="683" t="str">
        <f t="shared" si="70"/>
        <v/>
      </c>
      <c r="CL772" s="683" t="str">
        <f t="shared" si="71"/>
        <v/>
      </c>
      <c r="CM772" s="683" t="str">
        <f t="shared" si="72"/>
        <v/>
      </c>
      <c r="CN772" s="683" t="str">
        <f t="shared" si="73"/>
        <v/>
      </c>
      <c r="CO772" s="683" t="str">
        <f t="shared" si="74"/>
        <v/>
      </c>
      <c r="CP772" s="683" t="str">
        <f t="shared" si="75"/>
        <v/>
      </c>
      <c r="CQ772" s="683" t="str">
        <f t="shared" si="76"/>
        <v/>
      </c>
      <c r="CR772" s="683" t="str">
        <f t="shared" si="77"/>
        <v/>
      </c>
      <c r="CS772" s="683" t="str">
        <f t="shared" si="78"/>
        <v/>
      </c>
      <c r="CT772" s="683" t="str">
        <f t="shared" si="79"/>
        <v/>
      </c>
      <c r="CU772" s="683" t="str">
        <f t="shared" si="80"/>
        <v/>
      </c>
      <c r="CV772" s="683">
        <f t="shared" si="81"/>
        <v>6250</v>
      </c>
      <c r="CW772" s="683" t="str">
        <f t="shared" si="82"/>
        <v/>
      </c>
      <c r="CX772" s="683" t="str">
        <f t="shared" si="83"/>
        <v/>
      </c>
      <c r="CY772" s="683" t="str">
        <f t="shared" si="84"/>
        <v/>
      </c>
      <c r="CZ772" s="683" t="str">
        <f t="shared" si="85"/>
        <v/>
      </c>
      <c r="DA772" s="683" t="str">
        <f t="shared" si="86"/>
        <v/>
      </c>
      <c r="DB772" s="683" t="str">
        <f t="shared" si="87"/>
        <v/>
      </c>
      <c r="DC772" s="683" t="str">
        <f t="shared" si="88"/>
        <v/>
      </c>
      <c r="DD772" s="683" t="str">
        <f t="shared" si="89"/>
        <v/>
      </c>
      <c r="DE772" s="683" t="str">
        <f t="shared" si="90"/>
        <v/>
      </c>
      <c r="DF772" s="683">
        <f t="shared" si="91"/>
        <v>5</v>
      </c>
      <c r="DG772" s="683" t="str">
        <f t="shared" si="92"/>
        <v/>
      </c>
      <c r="DH772" s="683" t="str">
        <f t="shared" si="93"/>
        <v/>
      </c>
      <c r="DI772" s="683" t="str">
        <f t="shared" si="94"/>
        <v/>
      </c>
      <c r="DJ772" s="683" t="str">
        <f t="shared" si="95"/>
        <v/>
      </c>
      <c r="DK772" s="683" t="str">
        <f t="shared" si="96"/>
        <v/>
      </c>
      <c r="DL772" s="683" t="str">
        <f t="shared" si="97"/>
        <v/>
      </c>
      <c r="DM772" s="683" t="str">
        <f t="shared" si="98"/>
        <v/>
      </c>
      <c r="DN772" s="683" t="str">
        <f t="shared" si="99"/>
        <v/>
      </c>
      <c r="DO772" s="683" t="str">
        <f t="shared" si="100"/>
        <v/>
      </c>
      <c r="DP772" s="683" t="str">
        <f t="shared" si="101"/>
        <v/>
      </c>
      <c r="DQ772" s="683" t="str">
        <f t="shared" si="102"/>
        <v/>
      </c>
      <c r="DR772" s="683" t="str">
        <f t="shared" si="103"/>
        <v/>
      </c>
      <c r="DS772" s="683" t="str">
        <f t="shared" si="104"/>
        <v/>
      </c>
      <c r="DT772" s="683" t="str">
        <f t="shared" si="105"/>
        <v/>
      </c>
      <c r="DU772" s="683" t="str">
        <f t="shared" si="106"/>
        <v/>
      </c>
      <c r="DV772" s="683" t="str">
        <f t="shared" si="107"/>
        <v/>
      </c>
      <c r="DW772" s="683" t="str">
        <f t="shared" si="108"/>
        <v/>
      </c>
      <c r="DX772" s="683" t="str">
        <f t="shared" si="109"/>
        <v/>
      </c>
      <c r="DY772" s="683" t="str">
        <f t="shared" si="110"/>
        <v/>
      </c>
      <c r="DZ772" s="683" t="str">
        <f t="shared" si="111"/>
        <v/>
      </c>
      <c r="EA772" s="683" t="str">
        <f t="shared" si="112"/>
        <v/>
      </c>
      <c r="EB772" s="683" t="str">
        <f t="shared" si="113"/>
        <v/>
      </c>
      <c r="EC772" s="683" t="str">
        <f t="shared" si="114"/>
        <v/>
      </c>
      <c r="ED772" s="683" t="str">
        <f t="shared" si="115"/>
        <v/>
      </c>
      <c r="EE772" s="683" t="str">
        <f t="shared" si="116"/>
        <v/>
      </c>
      <c r="EF772" s="683" t="str">
        <f t="shared" si="117"/>
        <v/>
      </c>
      <c r="EG772" s="683" t="str">
        <f t="shared" si="118"/>
        <v/>
      </c>
      <c r="EH772" s="683" t="str">
        <f t="shared" si="119"/>
        <v/>
      </c>
      <c r="EI772" s="683" t="str">
        <f t="shared" si="120"/>
        <v/>
      </c>
      <c r="EJ772" s="683" t="str">
        <f t="shared" si="121"/>
        <v/>
      </c>
      <c r="EK772" s="683" t="str">
        <f t="shared" si="122"/>
        <v/>
      </c>
      <c r="EL772" s="683" t="str">
        <f t="shared" si="123"/>
        <v/>
      </c>
      <c r="EM772" s="683" t="str">
        <f t="shared" si="124"/>
        <v/>
      </c>
      <c r="EN772" s="683" t="str">
        <f t="shared" si="125"/>
        <v/>
      </c>
      <c r="EO772" s="683" t="str">
        <f t="shared" si="126"/>
        <v/>
      </c>
      <c r="EP772" s="683" t="str">
        <f t="shared" si="127"/>
        <v/>
      </c>
      <c r="EQ772" s="683" t="str">
        <f t="shared" si="128"/>
        <v/>
      </c>
      <c r="ER772" s="683" t="str">
        <f t="shared" si="129"/>
        <v/>
      </c>
      <c r="ES772" s="683" t="str">
        <f t="shared" si="130"/>
        <v/>
      </c>
      <c r="ET772" s="683" t="str">
        <f t="shared" si="131"/>
        <v/>
      </c>
      <c r="EU772" s="683" t="str">
        <f t="shared" si="132"/>
        <v/>
      </c>
      <c r="EV772" s="683" t="str">
        <f t="shared" si="133"/>
        <v/>
      </c>
      <c r="EW772" s="1854" t="str">
        <f t="shared" si="134"/>
        <v/>
      </c>
      <c r="EX772" s="1854" t="str">
        <f t="shared" si="135"/>
        <v/>
      </c>
      <c r="EY772" s="1854" t="str">
        <f t="shared" si="136"/>
        <v/>
      </c>
      <c r="EZ772" s="1854" t="str">
        <f t="shared" si="137"/>
        <v/>
      </c>
      <c r="FA772" s="1854" t="str">
        <f t="shared" si="138"/>
        <v/>
      </c>
      <c r="FB772" s="1854" t="str">
        <f t="shared" si="139"/>
        <v/>
      </c>
      <c r="FC772" s="1854" t="str">
        <f t="shared" si="140"/>
        <v/>
      </c>
      <c r="FD772" s="1854" t="str">
        <f t="shared" si="141"/>
        <v/>
      </c>
      <c r="FE772" s="1854" t="str">
        <f t="shared" si="142"/>
        <v/>
      </c>
      <c r="FF772" s="1854" t="str">
        <f t="shared" si="143"/>
        <v/>
      </c>
      <c r="FG772" s="1854" t="str">
        <f t="shared" si="144"/>
        <v/>
      </c>
      <c r="FH772" s="1854" t="str">
        <f t="shared" si="145"/>
        <v/>
      </c>
      <c r="FI772" s="1854" t="str">
        <f t="shared" si="146"/>
        <v/>
      </c>
      <c r="FJ772" s="1854" t="str">
        <f t="shared" si="147"/>
        <v/>
      </c>
      <c r="FK772" s="1854" t="str">
        <f t="shared" si="148"/>
        <v/>
      </c>
      <c r="FL772" s="1854" t="str">
        <f t="shared" si="149"/>
        <v/>
      </c>
      <c r="FM772" s="1854" t="str">
        <f t="shared" si="150"/>
        <v/>
      </c>
      <c r="FN772" s="1854" t="str">
        <f t="shared" si="151"/>
        <v/>
      </c>
      <c r="FO772" s="1854" t="str">
        <f t="shared" si="152"/>
        <v/>
      </c>
      <c r="FP772" s="1854" t="str">
        <f t="shared" si="153"/>
        <v/>
      </c>
      <c r="FQ772" s="1854" t="str">
        <f t="shared" si="154"/>
        <v/>
      </c>
      <c r="FR772" s="1854" t="str">
        <f t="shared" si="155"/>
        <v/>
      </c>
      <c r="FS772" s="1854" t="str">
        <f t="shared" si="156"/>
        <v/>
      </c>
      <c r="FT772" s="1854" t="str">
        <f t="shared" si="157"/>
        <v/>
      </c>
      <c r="FU772" s="1854" t="str">
        <f t="shared" si="158"/>
        <v/>
      </c>
      <c r="FV772" s="1854" t="str">
        <f t="shared" si="159"/>
        <v/>
      </c>
      <c r="FW772" s="1854" t="str">
        <f t="shared" si="160"/>
        <v/>
      </c>
      <c r="FX772" s="1854" t="str">
        <f t="shared" si="161"/>
        <v/>
      </c>
      <c r="FY772" s="1854" t="str">
        <f t="shared" si="162"/>
        <v/>
      </c>
      <c r="FZ772" s="1854" t="str">
        <f t="shared" si="163"/>
        <v/>
      </c>
      <c r="GA772" s="1854" t="str">
        <f t="shared" si="164"/>
        <v/>
      </c>
      <c r="GB772" s="1854" t="str">
        <f t="shared" si="165"/>
        <v/>
      </c>
      <c r="GC772" s="1854" t="str">
        <f t="shared" si="166"/>
        <v/>
      </c>
      <c r="GD772" s="1854" t="str">
        <f t="shared" si="167"/>
        <v/>
      </c>
      <c r="GE772" s="1854" t="str">
        <f t="shared" si="168"/>
        <v/>
      </c>
      <c r="GF772" s="1854" t="str">
        <f t="shared" si="169"/>
        <v/>
      </c>
      <c r="GG772" s="1854" t="str">
        <f t="shared" si="170"/>
        <v/>
      </c>
      <c r="GH772" s="1854">
        <f t="shared" si="171"/>
        <v>5</v>
      </c>
      <c r="GI772" s="1854" t="str">
        <f t="shared" si="172"/>
        <v/>
      </c>
      <c r="GJ772" s="1854" t="str">
        <f t="shared" si="173"/>
        <v/>
      </c>
      <c r="GK772" s="1854" t="str">
        <f t="shared" si="174"/>
        <v/>
      </c>
      <c r="GL772" s="1854" t="str">
        <f t="shared" si="175"/>
        <v/>
      </c>
      <c r="GM772" s="1854" t="str">
        <f t="shared" si="176"/>
        <v/>
      </c>
      <c r="GN772" s="1854" t="str">
        <f t="shared" si="177"/>
        <v/>
      </c>
      <c r="GO772" s="1854" t="str">
        <f t="shared" si="178"/>
        <v/>
      </c>
      <c r="GP772" s="1854" t="str">
        <f t="shared" si="179"/>
        <v/>
      </c>
      <c r="GQ772" s="1854" t="str">
        <f t="shared" si="180"/>
        <v/>
      </c>
      <c r="GR772" s="1854" t="str">
        <f t="shared" si="181"/>
        <v/>
      </c>
      <c r="GS772" s="1854" t="str">
        <f t="shared" si="182"/>
        <v/>
      </c>
      <c r="GT772" s="1854" t="str">
        <f t="shared" si="183"/>
        <v/>
      </c>
      <c r="GU772" s="1854" t="str">
        <f t="shared" si="184"/>
        <v/>
      </c>
      <c r="GV772" s="1854" t="str">
        <f t="shared" si="185"/>
        <v/>
      </c>
      <c r="GW772" s="1854" t="str">
        <f t="shared" si="186"/>
        <v/>
      </c>
      <c r="GX772" s="1854" t="str">
        <f t="shared" si="187"/>
        <v/>
      </c>
      <c r="GY772" s="1854" t="str">
        <f t="shared" si="188"/>
        <v/>
      </c>
      <c r="GZ772" s="1854" t="str">
        <f t="shared" si="189"/>
        <v/>
      </c>
      <c r="HA772" s="1854" t="str">
        <f t="shared" si="190"/>
        <v/>
      </c>
      <c r="HB772" s="1854" t="str">
        <f t="shared" si="191"/>
        <v/>
      </c>
      <c r="HC772" s="1854" t="str">
        <f t="shared" si="192"/>
        <v/>
      </c>
      <c r="HD772" s="1854" t="str">
        <f t="shared" si="193"/>
        <v/>
      </c>
      <c r="HE772" s="1854" t="str">
        <f t="shared" si="194"/>
        <v/>
      </c>
      <c r="HF772" s="1854" t="str">
        <f t="shared" si="195"/>
        <v/>
      </c>
      <c r="HG772" s="1854" t="str">
        <f t="shared" si="196"/>
        <v/>
      </c>
      <c r="HH772" s="1854" t="str">
        <f t="shared" si="197"/>
        <v/>
      </c>
      <c r="HI772" s="1854" t="str">
        <f t="shared" si="198"/>
        <v/>
      </c>
      <c r="HJ772" s="1854" t="str">
        <f t="shared" si="199"/>
        <v/>
      </c>
      <c r="HK772" s="1854" t="str">
        <f t="shared" si="200"/>
        <v/>
      </c>
      <c r="HL772" s="1854" t="str">
        <f t="shared" si="201"/>
        <v/>
      </c>
      <c r="HM772" s="1854" t="str">
        <f t="shared" si="202"/>
        <v/>
      </c>
      <c r="HN772" s="1854" t="str">
        <f t="shared" si="203"/>
        <v/>
      </c>
      <c r="HO772" s="1854" t="str">
        <f t="shared" si="204"/>
        <v/>
      </c>
      <c r="HP772" s="1854" t="str">
        <f t="shared" si="205"/>
        <v/>
      </c>
      <c r="HQ772" s="1854" t="str">
        <f t="shared" si="206"/>
        <v/>
      </c>
      <c r="HR772" s="1854" t="str">
        <f t="shared" si="207"/>
        <v/>
      </c>
      <c r="HS772" s="1854" t="str">
        <f t="shared" si="208"/>
        <v/>
      </c>
      <c r="HT772" s="1854" t="str">
        <f t="shared" si="209"/>
        <v/>
      </c>
      <c r="HU772" s="1854" t="str">
        <f t="shared" si="210"/>
        <v/>
      </c>
      <c r="HV772" s="1854" t="str">
        <f t="shared" si="211"/>
        <v/>
      </c>
      <c r="HW772" s="1854" t="str">
        <f t="shared" si="212"/>
        <v/>
      </c>
      <c r="HX772" s="1854" t="str">
        <f t="shared" si="213"/>
        <v/>
      </c>
      <c r="HY772" s="1854" t="str">
        <f t="shared" si="214"/>
        <v/>
      </c>
      <c r="HZ772" s="1854" t="str">
        <f t="shared" si="215"/>
        <v/>
      </c>
      <c r="IA772" s="1854" t="str">
        <f t="shared" si="216"/>
        <v/>
      </c>
      <c r="IB772" s="1854" t="str">
        <f t="shared" si="217"/>
        <v/>
      </c>
      <c r="IC772" s="1854" t="str">
        <f t="shared" si="218"/>
        <v/>
      </c>
      <c r="ID772" s="1826" t="str">
        <f t="shared" si="219"/>
        <v/>
      </c>
      <c r="IE772" s="1826" t="str">
        <f t="shared" si="220"/>
        <v/>
      </c>
      <c r="IF772" s="1826" t="str">
        <f t="shared" si="221"/>
        <v/>
      </c>
      <c r="IG772" s="1826" t="str">
        <f t="shared" si="222"/>
        <v/>
      </c>
      <c r="IH772" s="1826" t="str">
        <f t="shared" si="223"/>
        <v/>
      </c>
      <c r="II772" s="683" t="str">
        <f t="shared" si="224"/>
        <v/>
      </c>
      <c r="IJ772" s="683" t="str">
        <f t="shared" si="225"/>
        <v/>
      </c>
      <c r="IK772" s="683" t="str">
        <f t="shared" si="226"/>
        <v/>
      </c>
      <c r="IL772" s="683" t="str">
        <f t="shared" si="227"/>
        <v/>
      </c>
      <c r="IM772" s="683" t="str">
        <f t="shared" si="228"/>
        <v/>
      </c>
      <c r="IN772" s="683" t="str">
        <f t="shared" si="229"/>
        <v/>
      </c>
      <c r="IO772" s="683" t="str">
        <f t="shared" si="230"/>
        <v/>
      </c>
      <c r="IP772" s="683" t="str">
        <f t="shared" si="231"/>
        <v/>
      </c>
      <c r="IQ772" s="683" t="str">
        <f t="shared" si="232"/>
        <v/>
      </c>
      <c r="IR772" s="683" t="str">
        <f t="shared" si="233"/>
        <v/>
      </c>
      <c r="IS772" s="683" t="str">
        <f t="shared" si="234"/>
        <v/>
      </c>
      <c r="IT772" s="683" t="str">
        <f t="shared" si="235"/>
        <v/>
      </c>
      <c r="IU772" s="683" t="str">
        <f t="shared" si="236"/>
        <v/>
      </c>
      <c r="IV772" s="683" t="str">
        <f t="shared" si="237"/>
        <v/>
      </c>
      <c r="IW772" s="683" t="str">
        <f t="shared" si="238"/>
        <v/>
      </c>
      <c r="IX772" s="683" t="str">
        <f t="shared" si="239"/>
        <v/>
      </c>
      <c r="IY772" s="683" t="str">
        <f t="shared" si="240"/>
        <v/>
      </c>
      <c r="IZ772" s="683" t="str">
        <f t="shared" si="241"/>
        <v/>
      </c>
      <c r="JA772" s="683" t="str">
        <f t="shared" si="242"/>
        <v/>
      </c>
      <c r="JB772" s="683" t="str">
        <f t="shared" si="243"/>
        <v/>
      </c>
      <c r="JC772" s="1824">
        <f t="shared" si="244"/>
        <v>0</v>
      </c>
      <c r="JD772" s="1824">
        <f t="shared" si="245"/>
        <v>0</v>
      </c>
      <c r="JE772" s="1824">
        <f t="shared" si="246"/>
        <v>0</v>
      </c>
      <c r="JF772" s="1824">
        <f t="shared" si="247"/>
        <v>0</v>
      </c>
      <c r="JG772" s="1824">
        <f t="shared" si="248"/>
        <v>0</v>
      </c>
      <c r="JH772" s="1824">
        <f t="shared" si="249"/>
        <v>0</v>
      </c>
      <c r="JI772" s="1824">
        <f t="shared" si="250"/>
        <v>0</v>
      </c>
      <c r="JJ772" s="1824">
        <f t="shared" si="251"/>
        <v>5</v>
      </c>
      <c r="JK772" s="1824">
        <f t="shared" si="252"/>
        <v>0</v>
      </c>
      <c r="JL772" s="1824">
        <f t="shared" si="253"/>
        <v>0</v>
      </c>
      <c r="JM772" s="1824">
        <f t="shared" si="254"/>
        <v>0</v>
      </c>
      <c r="JN772" s="1824">
        <f t="shared" si="255"/>
        <v>0</v>
      </c>
      <c r="JO772" s="1824">
        <f t="shared" si="256"/>
        <v>0</v>
      </c>
      <c r="JP772" s="1824">
        <f t="shared" si="257"/>
        <v>0</v>
      </c>
      <c r="JQ772" s="1824">
        <f t="shared" si="258"/>
        <v>0</v>
      </c>
    </row>
    <row r="773" spans="1:277" ht="12" customHeight="1">
      <c r="A773" s="1837" t="str">
        <f t="shared" si="1"/>
        <v/>
      </c>
      <c r="B773" s="1846" t="str">
        <f>'Part VI-Revenues &amp; Expenses'!B16</f>
        <v>60% AMI</v>
      </c>
      <c r="C773" s="1847">
        <f>'Part VI-Revenues &amp; Expenses'!C16</f>
        <v>3</v>
      </c>
      <c r="D773" s="1848">
        <f>'Part VI-Revenues &amp; Expenses'!D16</f>
        <v>2</v>
      </c>
      <c r="E773" s="1849">
        <f>'Part VI-Revenues &amp; Expenses'!E16</f>
        <v>1</v>
      </c>
      <c r="F773" s="1849">
        <f>'Part VI-Revenues &amp; Expenses'!F16</f>
        <v>1464</v>
      </c>
      <c r="G773" s="1849">
        <f>'Part VI-Revenues &amp; Expenses'!G16</f>
        <v>774</v>
      </c>
      <c r="H773" s="1849">
        <f>'Part VI-Revenues &amp; Expenses'!H16</f>
        <v>774</v>
      </c>
      <c r="I773" s="1849">
        <f>'Part VI-Revenues &amp; Expenses'!I16</f>
        <v>192</v>
      </c>
      <c r="J773" s="1850">
        <f>'Part VI-Revenues &amp; Expenses'!J16</f>
        <v>0</v>
      </c>
      <c r="K773" s="1851">
        <f t="shared" si="2"/>
        <v>582</v>
      </c>
      <c r="L773" s="1851">
        <f t="shared" si="3"/>
        <v>582</v>
      </c>
      <c r="M773" s="1725" t="str">
        <f>'Part VI-Revenues &amp; Expenses'!M16</f>
        <v>No</v>
      </c>
      <c r="N773" s="1725" t="str">
        <f>'Part VI-Revenues &amp; Expenses'!N16</f>
        <v>2-Story Walkup</v>
      </c>
      <c r="O773" s="1725" t="str">
        <f>'Part VI-Revenues &amp; Expenses'!O16</f>
        <v>New Construction</v>
      </c>
      <c r="P773" s="1831" t="str">
        <f>'Part VI-Revenues &amp; Expenses'!P16</f>
        <v>No</v>
      </c>
      <c r="Q773" s="1852">
        <f>'Part VI-Revenues &amp; Expenses'!Q16</f>
        <v>30960</v>
      </c>
      <c r="R773" s="1853">
        <f>'Part VI-Revenues &amp; Expenses'!R16</f>
        <v>0.60018610421836227</v>
      </c>
      <c r="S773" s="1852">
        <f>'Part VI-Revenues &amp; Expenses'!S16</f>
        <v>0</v>
      </c>
      <c r="T773" s="1853">
        <f>'Part VI-Revenues &amp; Expenses'!T16</f>
        <v>0</v>
      </c>
      <c r="U773" s="1775"/>
      <c r="V773" s="1775"/>
      <c r="W773" s="683" t="str">
        <f t="shared" si="4"/>
        <v/>
      </c>
      <c r="X773" s="683" t="str">
        <f t="shared" si="5"/>
        <v/>
      </c>
      <c r="Y773" s="683" t="str">
        <f t="shared" si="6"/>
        <v/>
      </c>
      <c r="Z773" s="683">
        <f t="shared" si="7"/>
        <v>1</v>
      </c>
      <c r="AA773" s="683" t="str">
        <f t="shared" si="8"/>
        <v/>
      </c>
      <c r="AB773" s="683" t="str">
        <f t="shared" si="9"/>
        <v/>
      </c>
      <c r="AC773" s="683" t="str">
        <f t="shared" si="10"/>
        <v/>
      </c>
      <c r="AD773" s="683" t="str">
        <f t="shared" si="11"/>
        <v/>
      </c>
      <c r="AE773" s="683" t="str">
        <f t="shared" si="12"/>
        <v/>
      </c>
      <c r="AF773" s="683" t="str">
        <f t="shared" si="13"/>
        <v/>
      </c>
      <c r="AG773" s="683" t="str">
        <f t="shared" si="14"/>
        <v/>
      </c>
      <c r="AH773" s="683" t="str">
        <f t="shared" si="15"/>
        <v/>
      </c>
      <c r="AI773" s="683" t="str">
        <f t="shared" si="16"/>
        <v/>
      </c>
      <c r="AJ773" s="683" t="str">
        <f t="shared" si="17"/>
        <v/>
      </c>
      <c r="AK773" s="683" t="str">
        <f t="shared" si="18"/>
        <v/>
      </c>
      <c r="AL773" s="683" t="str">
        <f t="shared" si="19"/>
        <v/>
      </c>
      <c r="AM773" s="683" t="str">
        <f t="shared" si="20"/>
        <v/>
      </c>
      <c r="AN773" s="683" t="str">
        <f t="shared" si="21"/>
        <v/>
      </c>
      <c r="AO773" s="683" t="str">
        <f t="shared" si="22"/>
        <v/>
      </c>
      <c r="AP773" s="683" t="str">
        <f t="shared" si="23"/>
        <v/>
      </c>
      <c r="AQ773" s="683" t="str">
        <f t="shared" si="24"/>
        <v/>
      </c>
      <c r="AR773" s="683" t="str">
        <f t="shared" si="25"/>
        <v/>
      </c>
      <c r="AS773" s="683" t="str">
        <f t="shared" si="26"/>
        <v/>
      </c>
      <c r="AT773" s="683" t="str">
        <f t="shared" si="27"/>
        <v/>
      </c>
      <c r="AU773" s="683" t="str">
        <f t="shared" si="28"/>
        <v/>
      </c>
      <c r="AV773" s="683" t="str">
        <f t="shared" si="29"/>
        <v/>
      </c>
      <c r="AW773" s="683" t="str">
        <f t="shared" si="30"/>
        <v/>
      </c>
      <c r="AX773" s="683" t="str">
        <f t="shared" si="31"/>
        <v/>
      </c>
      <c r="AY773" s="683" t="str">
        <f t="shared" si="32"/>
        <v/>
      </c>
      <c r="AZ773" s="683" t="str">
        <f t="shared" si="33"/>
        <v/>
      </c>
      <c r="BA773" s="683" t="str">
        <f t="shared" si="34"/>
        <v/>
      </c>
      <c r="BB773" s="683" t="str">
        <f t="shared" si="35"/>
        <v/>
      </c>
      <c r="BC773" s="683" t="str">
        <f t="shared" si="36"/>
        <v/>
      </c>
      <c r="BD773" s="683" t="str">
        <f t="shared" si="37"/>
        <v/>
      </c>
      <c r="BE773" s="683" t="str">
        <f t="shared" si="38"/>
        <v/>
      </c>
      <c r="BF773" s="683" t="str">
        <f t="shared" si="39"/>
        <v/>
      </c>
      <c r="BG773" s="683" t="str">
        <f t="shared" si="40"/>
        <v/>
      </c>
      <c r="BH773" s="683" t="str">
        <f t="shared" si="41"/>
        <v/>
      </c>
      <c r="BI773" s="683" t="str">
        <f t="shared" si="42"/>
        <v/>
      </c>
      <c r="BJ773" s="683" t="str">
        <f t="shared" si="43"/>
        <v/>
      </c>
      <c r="BK773" s="683" t="str">
        <f t="shared" si="44"/>
        <v/>
      </c>
      <c r="BL773" s="683" t="str">
        <f t="shared" si="45"/>
        <v/>
      </c>
      <c r="BM773" s="683" t="str">
        <f t="shared" si="46"/>
        <v/>
      </c>
      <c r="BN773" s="683" t="str">
        <f t="shared" si="47"/>
        <v/>
      </c>
      <c r="BO773" s="683" t="str">
        <f t="shared" si="48"/>
        <v/>
      </c>
      <c r="BP773" s="683" t="str">
        <f t="shared" si="49"/>
        <v/>
      </c>
      <c r="BQ773" s="683" t="str">
        <f t="shared" si="50"/>
        <v/>
      </c>
      <c r="BR773" s="683" t="str">
        <f t="shared" si="51"/>
        <v/>
      </c>
      <c r="BS773" s="683" t="str">
        <f t="shared" si="52"/>
        <v/>
      </c>
      <c r="BT773" s="683" t="str">
        <f t="shared" si="53"/>
        <v/>
      </c>
      <c r="BU773" s="683" t="str">
        <f t="shared" si="54"/>
        <v/>
      </c>
      <c r="BV773" s="683" t="str">
        <f t="shared" si="55"/>
        <v/>
      </c>
      <c r="BW773" s="683" t="str">
        <f t="shared" si="56"/>
        <v/>
      </c>
      <c r="BX773" s="683" t="str">
        <f t="shared" si="57"/>
        <v/>
      </c>
      <c r="BY773" s="683" t="str">
        <f t="shared" si="58"/>
        <v/>
      </c>
      <c r="BZ773" s="683" t="str">
        <f t="shared" si="59"/>
        <v/>
      </c>
      <c r="CA773" s="683" t="str">
        <f t="shared" si="60"/>
        <v/>
      </c>
      <c r="CB773" s="683" t="str">
        <f t="shared" si="61"/>
        <v/>
      </c>
      <c r="CC773" s="683">
        <f t="shared" si="62"/>
        <v>1464</v>
      </c>
      <c r="CD773" s="683" t="str">
        <f t="shared" si="63"/>
        <v/>
      </c>
      <c r="CE773" s="683" t="str">
        <f t="shared" si="64"/>
        <v/>
      </c>
      <c r="CF773" s="683" t="str">
        <f t="shared" si="65"/>
        <v/>
      </c>
      <c r="CG773" s="683" t="str">
        <f t="shared" si="66"/>
        <v/>
      </c>
      <c r="CH773" s="683" t="str">
        <f t="shared" si="67"/>
        <v/>
      </c>
      <c r="CI773" s="683" t="str">
        <f t="shared" si="68"/>
        <v/>
      </c>
      <c r="CJ773" s="683" t="str">
        <f t="shared" si="69"/>
        <v/>
      </c>
      <c r="CK773" s="683" t="str">
        <f t="shared" si="70"/>
        <v/>
      </c>
      <c r="CL773" s="683" t="str">
        <f t="shared" si="71"/>
        <v/>
      </c>
      <c r="CM773" s="683" t="str">
        <f t="shared" si="72"/>
        <v/>
      </c>
      <c r="CN773" s="683" t="str">
        <f t="shared" si="73"/>
        <v/>
      </c>
      <c r="CO773" s="683" t="str">
        <f t="shared" si="74"/>
        <v/>
      </c>
      <c r="CP773" s="683" t="str">
        <f t="shared" si="75"/>
        <v/>
      </c>
      <c r="CQ773" s="683" t="str">
        <f t="shared" si="76"/>
        <v/>
      </c>
      <c r="CR773" s="683" t="str">
        <f t="shared" si="77"/>
        <v/>
      </c>
      <c r="CS773" s="683" t="str">
        <f t="shared" si="78"/>
        <v/>
      </c>
      <c r="CT773" s="683" t="str">
        <f t="shared" si="79"/>
        <v/>
      </c>
      <c r="CU773" s="683" t="str">
        <f t="shared" si="80"/>
        <v/>
      </c>
      <c r="CV773" s="683" t="str">
        <f t="shared" si="81"/>
        <v/>
      </c>
      <c r="CW773" s="683" t="str">
        <f t="shared" si="82"/>
        <v/>
      </c>
      <c r="CX773" s="683" t="str">
        <f t="shared" si="83"/>
        <v/>
      </c>
      <c r="CY773" s="683" t="str">
        <f t="shared" si="84"/>
        <v/>
      </c>
      <c r="CZ773" s="683" t="str">
        <f t="shared" si="85"/>
        <v/>
      </c>
      <c r="DA773" s="683" t="str">
        <f t="shared" si="86"/>
        <v/>
      </c>
      <c r="DB773" s="683" t="str">
        <f t="shared" si="87"/>
        <v/>
      </c>
      <c r="DC773" s="683" t="str">
        <f t="shared" si="88"/>
        <v/>
      </c>
      <c r="DD773" s="683" t="str">
        <f t="shared" si="89"/>
        <v/>
      </c>
      <c r="DE773" s="683" t="str">
        <f t="shared" si="90"/>
        <v/>
      </c>
      <c r="DF773" s="683" t="str">
        <f t="shared" si="91"/>
        <v/>
      </c>
      <c r="DG773" s="683">
        <f t="shared" si="92"/>
        <v>1</v>
      </c>
      <c r="DH773" s="683" t="str">
        <f t="shared" si="93"/>
        <v/>
      </c>
      <c r="DI773" s="683" t="str">
        <f t="shared" si="94"/>
        <v/>
      </c>
      <c r="DJ773" s="683" t="str">
        <f t="shared" si="95"/>
        <v/>
      </c>
      <c r="DK773" s="683" t="str">
        <f t="shared" si="96"/>
        <v/>
      </c>
      <c r="DL773" s="683" t="str">
        <f t="shared" si="97"/>
        <v/>
      </c>
      <c r="DM773" s="683" t="str">
        <f t="shared" si="98"/>
        <v/>
      </c>
      <c r="DN773" s="683" t="str">
        <f t="shared" si="99"/>
        <v/>
      </c>
      <c r="DO773" s="683" t="str">
        <f t="shared" si="100"/>
        <v/>
      </c>
      <c r="DP773" s="683" t="str">
        <f t="shared" si="101"/>
        <v/>
      </c>
      <c r="DQ773" s="683" t="str">
        <f t="shared" si="102"/>
        <v/>
      </c>
      <c r="DR773" s="683" t="str">
        <f t="shared" si="103"/>
        <v/>
      </c>
      <c r="DS773" s="683" t="str">
        <f t="shared" si="104"/>
        <v/>
      </c>
      <c r="DT773" s="683" t="str">
        <f t="shared" si="105"/>
        <v/>
      </c>
      <c r="DU773" s="683" t="str">
        <f t="shared" si="106"/>
        <v/>
      </c>
      <c r="DV773" s="683" t="str">
        <f t="shared" si="107"/>
        <v/>
      </c>
      <c r="DW773" s="683" t="str">
        <f t="shared" si="108"/>
        <v/>
      </c>
      <c r="DX773" s="683" t="str">
        <f t="shared" si="109"/>
        <v/>
      </c>
      <c r="DY773" s="683" t="str">
        <f t="shared" si="110"/>
        <v/>
      </c>
      <c r="DZ773" s="683" t="str">
        <f t="shared" si="111"/>
        <v/>
      </c>
      <c r="EA773" s="683" t="str">
        <f t="shared" si="112"/>
        <v/>
      </c>
      <c r="EB773" s="683" t="str">
        <f t="shared" si="113"/>
        <v/>
      </c>
      <c r="EC773" s="683" t="str">
        <f t="shared" si="114"/>
        <v/>
      </c>
      <c r="ED773" s="683" t="str">
        <f t="shared" si="115"/>
        <v/>
      </c>
      <c r="EE773" s="683" t="str">
        <f t="shared" si="116"/>
        <v/>
      </c>
      <c r="EF773" s="683" t="str">
        <f t="shared" si="117"/>
        <v/>
      </c>
      <c r="EG773" s="683" t="str">
        <f t="shared" si="118"/>
        <v/>
      </c>
      <c r="EH773" s="683" t="str">
        <f t="shared" si="119"/>
        <v/>
      </c>
      <c r="EI773" s="683" t="str">
        <f t="shared" si="120"/>
        <v/>
      </c>
      <c r="EJ773" s="683" t="str">
        <f t="shared" si="121"/>
        <v/>
      </c>
      <c r="EK773" s="683" t="str">
        <f t="shared" si="122"/>
        <v/>
      </c>
      <c r="EL773" s="683" t="str">
        <f t="shared" si="123"/>
        <v/>
      </c>
      <c r="EM773" s="683" t="str">
        <f t="shared" si="124"/>
        <v/>
      </c>
      <c r="EN773" s="683" t="str">
        <f t="shared" si="125"/>
        <v/>
      </c>
      <c r="EO773" s="683" t="str">
        <f t="shared" si="126"/>
        <v/>
      </c>
      <c r="EP773" s="683" t="str">
        <f t="shared" si="127"/>
        <v/>
      </c>
      <c r="EQ773" s="683" t="str">
        <f t="shared" si="128"/>
        <v/>
      </c>
      <c r="ER773" s="683" t="str">
        <f t="shared" si="129"/>
        <v/>
      </c>
      <c r="ES773" s="683" t="str">
        <f t="shared" si="130"/>
        <v/>
      </c>
      <c r="ET773" s="683" t="str">
        <f t="shared" si="131"/>
        <v/>
      </c>
      <c r="EU773" s="683" t="str">
        <f t="shared" si="132"/>
        <v/>
      </c>
      <c r="EV773" s="683" t="str">
        <f t="shared" si="133"/>
        <v/>
      </c>
      <c r="EW773" s="1854" t="str">
        <f t="shared" si="134"/>
        <v/>
      </c>
      <c r="EX773" s="1854" t="str">
        <f t="shared" si="135"/>
        <v/>
      </c>
      <c r="EY773" s="1854" t="str">
        <f t="shared" si="136"/>
        <v/>
      </c>
      <c r="EZ773" s="1854">
        <f t="shared" si="137"/>
        <v>1</v>
      </c>
      <c r="FA773" s="1854" t="str">
        <f t="shared" si="138"/>
        <v/>
      </c>
      <c r="FB773" s="1854" t="str">
        <f t="shared" si="139"/>
        <v/>
      </c>
      <c r="FC773" s="1854" t="str">
        <f t="shared" si="140"/>
        <v/>
      </c>
      <c r="FD773" s="1854" t="str">
        <f t="shared" si="141"/>
        <v/>
      </c>
      <c r="FE773" s="1854" t="str">
        <f t="shared" si="142"/>
        <v/>
      </c>
      <c r="FF773" s="1854" t="str">
        <f t="shared" si="143"/>
        <v/>
      </c>
      <c r="FG773" s="1854" t="str">
        <f t="shared" si="144"/>
        <v/>
      </c>
      <c r="FH773" s="1854" t="str">
        <f t="shared" si="145"/>
        <v/>
      </c>
      <c r="FI773" s="1854" t="str">
        <f t="shared" si="146"/>
        <v/>
      </c>
      <c r="FJ773" s="1854" t="str">
        <f t="shared" si="147"/>
        <v/>
      </c>
      <c r="FK773" s="1854" t="str">
        <f t="shared" si="148"/>
        <v/>
      </c>
      <c r="FL773" s="1854" t="str">
        <f t="shared" si="149"/>
        <v/>
      </c>
      <c r="FM773" s="1854" t="str">
        <f t="shared" si="150"/>
        <v/>
      </c>
      <c r="FN773" s="1854" t="str">
        <f t="shared" si="151"/>
        <v/>
      </c>
      <c r="FO773" s="1854" t="str">
        <f t="shared" si="152"/>
        <v/>
      </c>
      <c r="FP773" s="1854" t="str">
        <f t="shared" si="153"/>
        <v/>
      </c>
      <c r="FQ773" s="1854" t="str">
        <f t="shared" si="154"/>
        <v/>
      </c>
      <c r="FR773" s="1854" t="str">
        <f t="shared" si="155"/>
        <v/>
      </c>
      <c r="FS773" s="1854" t="str">
        <f t="shared" si="156"/>
        <v/>
      </c>
      <c r="FT773" s="1854" t="str">
        <f t="shared" si="157"/>
        <v/>
      </c>
      <c r="FU773" s="1854" t="str">
        <f t="shared" si="158"/>
        <v/>
      </c>
      <c r="FV773" s="1854" t="str">
        <f t="shared" si="159"/>
        <v/>
      </c>
      <c r="FW773" s="1854" t="str">
        <f t="shared" si="160"/>
        <v/>
      </c>
      <c r="FX773" s="1854" t="str">
        <f t="shared" si="161"/>
        <v/>
      </c>
      <c r="FY773" s="1854" t="str">
        <f t="shared" si="162"/>
        <v/>
      </c>
      <c r="FZ773" s="1854" t="str">
        <f t="shared" si="163"/>
        <v/>
      </c>
      <c r="GA773" s="1854" t="str">
        <f t="shared" si="164"/>
        <v/>
      </c>
      <c r="GB773" s="1854" t="str">
        <f t="shared" si="165"/>
        <v/>
      </c>
      <c r="GC773" s="1854" t="str">
        <f t="shared" si="166"/>
        <v/>
      </c>
      <c r="GD773" s="1854" t="str">
        <f t="shared" si="167"/>
        <v/>
      </c>
      <c r="GE773" s="1854" t="str">
        <f t="shared" si="168"/>
        <v/>
      </c>
      <c r="GF773" s="1854" t="str">
        <f t="shared" si="169"/>
        <v/>
      </c>
      <c r="GG773" s="1854" t="str">
        <f t="shared" si="170"/>
        <v/>
      </c>
      <c r="GH773" s="1854" t="str">
        <f t="shared" si="171"/>
        <v/>
      </c>
      <c r="GI773" s="1854" t="str">
        <f t="shared" si="172"/>
        <v/>
      </c>
      <c r="GJ773" s="1854" t="str">
        <f t="shared" si="173"/>
        <v/>
      </c>
      <c r="GK773" s="1854" t="str">
        <f t="shared" si="174"/>
        <v/>
      </c>
      <c r="GL773" s="1854" t="str">
        <f t="shared" si="175"/>
        <v/>
      </c>
      <c r="GM773" s="1854" t="str">
        <f t="shared" si="176"/>
        <v/>
      </c>
      <c r="GN773" s="1854" t="str">
        <f t="shared" si="177"/>
        <v/>
      </c>
      <c r="GO773" s="1854" t="str">
        <f t="shared" si="178"/>
        <v/>
      </c>
      <c r="GP773" s="1854" t="str">
        <f t="shared" si="179"/>
        <v/>
      </c>
      <c r="GQ773" s="1854" t="str">
        <f t="shared" si="180"/>
        <v/>
      </c>
      <c r="GR773" s="1854" t="str">
        <f t="shared" si="181"/>
        <v/>
      </c>
      <c r="GS773" s="1854" t="str">
        <f t="shared" si="182"/>
        <v/>
      </c>
      <c r="GT773" s="1854" t="str">
        <f t="shared" si="183"/>
        <v/>
      </c>
      <c r="GU773" s="1854" t="str">
        <f t="shared" si="184"/>
        <v/>
      </c>
      <c r="GV773" s="1854" t="str">
        <f t="shared" si="185"/>
        <v/>
      </c>
      <c r="GW773" s="1854" t="str">
        <f t="shared" si="186"/>
        <v/>
      </c>
      <c r="GX773" s="1854" t="str">
        <f t="shared" si="187"/>
        <v/>
      </c>
      <c r="GY773" s="1854" t="str">
        <f t="shared" si="188"/>
        <v/>
      </c>
      <c r="GZ773" s="1854" t="str">
        <f t="shared" si="189"/>
        <v/>
      </c>
      <c r="HA773" s="1854" t="str">
        <f t="shared" si="190"/>
        <v/>
      </c>
      <c r="HB773" s="1854" t="str">
        <f t="shared" si="191"/>
        <v/>
      </c>
      <c r="HC773" s="1854" t="str">
        <f t="shared" si="192"/>
        <v/>
      </c>
      <c r="HD773" s="1854" t="str">
        <f t="shared" si="193"/>
        <v/>
      </c>
      <c r="HE773" s="1854" t="str">
        <f t="shared" si="194"/>
        <v/>
      </c>
      <c r="HF773" s="1854" t="str">
        <f t="shared" si="195"/>
        <v/>
      </c>
      <c r="HG773" s="1854" t="str">
        <f t="shared" si="196"/>
        <v/>
      </c>
      <c r="HH773" s="1854" t="str">
        <f t="shared" si="197"/>
        <v/>
      </c>
      <c r="HI773" s="1854" t="str">
        <f t="shared" si="198"/>
        <v/>
      </c>
      <c r="HJ773" s="1854" t="str">
        <f t="shared" si="199"/>
        <v/>
      </c>
      <c r="HK773" s="1854" t="str">
        <f t="shared" si="200"/>
        <v/>
      </c>
      <c r="HL773" s="1854" t="str">
        <f t="shared" si="201"/>
        <v/>
      </c>
      <c r="HM773" s="1854">
        <f t="shared" si="202"/>
        <v>1</v>
      </c>
      <c r="HN773" s="1854" t="str">
        <f t="shared" si="203"/>
        <v/>
      </c>
      <c r="HO773" s="1854" t="str">
        <f t="shared" si="204"/>
        <v/>
      </c>
      <c r="HP773" s="1854" t="str">
        <f t="shared" si="205"/>
        <v/>
      </c>
      <c r="HQ773" s="1854" t="str">
        <f t="shared" si="206"/>
        <v/>
      </c>
      <c r="HR773" s="1854" t="str">
        <f t="shared" si="207"/>
        <v/>
      </c>
      <c r="HS773" s="1854" t="str">
        <f t="shared" si="208"/>
        <v/>
      </c>
      <c r="HT773" s="1854" t="str">
        <f t="shared" si="209"/>
        <v/>
      </c>
      <c r="HU773" s="1854" t="str">
        <f t="shared" si="210"/>
        <v/>
      </c>
      <c r="HV773" s="1854" t="str">
        <f t="shared" si="211"/>
        <v/>
      </c>
      <c r="HW773" s="1854" t="str">
        <f t="shared" si="212"/>
        <v/>
      </c>
      <c r="HX773" s="1854" t="str">
        <f t="shared" si="213"/>
        <v/>
      </c>
      <c r="HY773" s="1854" t="str">
        <f t="shared" si="214"/>
        <v/>
      </c>
      <c r="HZ773" s="1854" t="str">
        <f t="shared" si="215"/>
        <v/>
      </c>
      <c r="IA773" s="1854" t="str">
        <f t="shared" si="216"/>
        <v/>
      </c>
      <c r="IB773" s="1854" t="str">
        <f t="shared" si="217"/>
        <v/>
      </c>
      <c r="IC773" s="1854" t="str">
        <f t="shared" si="218"/>
        <v/>
      </c>
      <c r="ID773" s="1826" t="str">
        <f t="shared" si="219"/>
        <v/>
      </c>
      <c r="IE773" s="1826" t="str">
        <f t="shared" si="220"/>
        <v/>
      </c>
      <c r="IF773" s="1826" t="str">
        <f t="shared" si="221"/>
        <v/>
      </c>
      <c r="IG773" s="1826" t="str">
        <f t="shared" si="222"/>
        <v/>
      </c>
      <c r="IH773" s="1826" t="str">
        <f t="shared" si="223"/>
        <v/>
      </c>
      <c r="II773" s="683" t="str">
        <f t="shared" si="224"/>
        <v/>
      </c>
      <c r="IJ773" s="683" t="str">
        <f t="shared" si="225"/>
        <v/>
      </c>
      <c r="IK773" s="683" t="str">
        <f t="shared" si="226"/>
        <v/>
      </c>
      <c r="IL773" s="683" t="str">
        <f t="shared" si="227"/>
        <v/>
      </c>
      <c r="IM773" s="683" t="str">
        <f t="shared" si="228"/>
        <v/>
      </c>
      <c r="IN773" s="683" t="str">
        <f t="shared" si="229"/>
        <v/>
      </c>
      <c r="IO773" s="683" t="str">
        <f t="shared" si="230"/>
        <v/>
      </c>
      <c r="IP773" s="683" t="str">
        <f t="shared" si="231"/>
        <v/>
      </c>
      <c r="IQ773" s="683" t="str">
        <f t="shared" si="232"/>
        <v/>
      </c>
      <c r="IR773" s="683" t="str">
        <f t="shared" si="233"/>
        <v/>
      </c>
      <c r="IS773" s="683" t="str">
        <f t="shared" si="234"/>
        <v/>
      </c>
      <c r="IT773" s="683" t="str">
        <f t="shared" si="235"/>
        <v/>
      </c>
      <c r="IU773" s="683" t="str">
        <f t="shared" si="236"/>
        <v/>
      </c>
      <c r="IV773" s="683" t="str">
        <f t="shared" si="237"/>
        <v/>
      </c>
      <c r="IW773" s="683" t="str">
        <f t="shared" si="238"/>
        <v/>
      </c>
      <c r="IX773" s="683" t="str">
        <f t="shared" si="239"/>
        <v/>
      </c>
      <c r="IY773" s="683" t="str">
        <f t="shared" si="240"/>
        <v/>
      </c>
      <c r="IZ773" s="683" t="str">
        <f t="shared" si="241"/>
        <v/>
      </c>
      <c r="JA773" s="683" t="str">
        <f t="shared" si="242"/>
        <v/>
      </c>
      <c r="JB773" s="683" t="str">
        <f t="shared" si="243"/>
        <v/>
      </c>
      <c r="JC773" s="1824">
        <f t="shared" si="244"/>
        <v>0</v>
      </c>
      <c r="JD773" s="1824">
        <f t="shared" si="245"/>
        <v>0</v>
      </c>
      <c r="JE773" s="1824">
        <f t="shared" si="246"/>
        <v>0</v>
      </c>
      <c r="JF773" s="1824">
        <f t="shared" si="247"/>
        <v>0</v>
      </c>
      <c r="JG773" s="1824">
        <f t="shared" si="248"/>
        <v>0</v>
      </c>
      <c r="JH773" s="1824">
        <f t="shared" si="249"/>
        <v>0</v>
      </c>
      <c r="JI773" s="1824">
        <f t="shared" si="250"/>
        <v>0</v>
      </c>
      <c r="JJ773" s="1824">
        <f t="shared" si="251"/>
        <v>0</v>
      </c>
      <c r="JK773" s="1824">
        <f t="shared" si="252"/>
        <v>1</v>
      </c>
      <c r="JL773" s="1824">
        <f t="shared" si="253"/>
        <v>0</v>
      </c>
      <c r="JM773" s="1824">
        <f t="shared" si="254"/>
        <v>0</v>
      </c>
      <c r="JN773" s="1824">
        <f t="shared" si="255"/>
        <v>0</v>
      </c>
      <c r="JO773" s="1824">
        <f t="shared" si="256"/>
        <v>0</v>
      </c>
      <c r="JP773" s="1824">
        <f t="shared" si="257"/>
        <v>0</v>
      </c>
      <c r="JQ773" s="1824">
        <f t="shared" si="258"/>
        <v>0</v>
      </c>
    </row>
    <row r="774" spans="1:277" ht="12" customHeight="1">
      <c r="A774" s="1837" t="str">
        <f t="shared" si="1"/>
        <v/>
      </c>
      <c r="B774" s="1846" t="str">
        <f>'Part VI-Revenues &amp; Expenses'!B17</f>
        <v>50% AMI</v>
      </c>
      <c r="C774" s="1847">
        <f>'Part VI-Revenues &amp; Expenses'!C17</f>
        <v>3</v>
      </c>
      <c r="D774" s="1848">
        <f>'Part VI-Revenues &amp; Expenses'!D17</f>
        <v>2</v>
      </c>
      <c r="E774" s="1849">
        <f>'Part VI-Revenues &amp; Expenses'!E17</f>
        <v>1</v>
      </c>
      <c r="F774" s="1849">
        <f>'Part VI-Revenues &amp; Expenses'!F17</f>
        <v>1464</v>
      </c>
      <c r="G774" s="1849">
        <f>'Part VI-Revenues &amp; Expenses'!G17</f>
        <v>645</v>
      </c>
      <c r="H774" s="1849">
        <f>'Part VI-Revenues &amp; Expenses'!H17</f>
        <v>992</v>
      </c>
      <c r="I774" s="1849">
        <f>'Part VI-Revenues &amp; Expenses'!I17</f>
        <v>192</v>
      </c>
      <c r="J774" s="1850" t="str">
        <f>'Part VI-Revenues &amp; Expenses'!J17</f>
        <v>PHA PBRA</v>
      </c>
      <c r="K774" s="1851">
        <f t="shared" si="2"/>
        <v>800</v>
      </c>
      <c r="L774" s="1851">
        <f t="shared" si="3"/>
        <v>800</v>
      </c>
      <c r="M774" s="1725" t="str">
        <f>'Part VI-Revenues &amp; Expenses'!M17</f>
        <v>No</v>
      </c>
      <c r="N774" s="1725" t="str">
        <f>'Part VI-Revenues &amp; Expenses'!N17</f>
        <v>2-Story Walkup</v>
      </c>
      <c r="O774" s="1725" t="str">
        <f>'Part VI-Revenues &amp; Expenses'!O17</f>
        <v>New Construction</v>
      </c>
      <c r="P774" s="1831" t="str">
        <f>'Part VI-Revenues &amp; Expenses'!P17</f>
        <v>No</v>
      </c>
      <c r="Q774" s="1852">
        <f>'Part VI-Revenues &amp; Expenses'!Q17</f>
        <v>39680</v>
      </c>
      <c r="R774" s="1853">
        <f>'Part VI-Revenues &amp; Expenses'!R17</f>
        <v>0.76923076923076927</v>
      </c>
      <c r="S774" s="1852">
        <f>'Part VI-Revenues &amp; Expenses'!S17</f>
        <v>0</v>
      </c>
      <c r="T774" s="1853">
        <f>'Part VI-Revenues &amp; Expenses'!T17</f>
        <v>0</v>
      </c>
      <c r="U774" s="1775"/>
      <c r="V774" s="1775"/>
      <c r="W774" s="683" t="str">
        <f t="shared" si="4"/>
        <v/>
      </c>
      <c r="X774" s="683" t="str">
        <f t="shared" si="5"/>
        <v/>
      </c>
      <c r="Y774" s="683" t="str">
        <f t="shared" si="6"/>
        <v/>
      </c>
      <c r="Z774" s="683" t="str">
        <f t="shared" si="7"/>
        <v/>
      </c>
      <c r="AA774" s="683" t="str">
        <f t="shared" si="8"/>
        <v/>
      </c>
      <c r="AB774" s="683" t="str">
        <f t="shared" si="9"/>
        <v/>
      </c>
      <c r="AC774" s="683" t="str">
        <f t="shared" si="10"/>
        <v/>
      </c>
      <c r="AD774" s="683" t="str">
        <f t="shared" si="11"/>
        <v/>
      </c>
      <c r="AE774" s="683">
        <f t="shared" si="12"/>
        <v>1</v>
      </c>
      <c r="AF774" s="683" t="str">
        <f t="shared" si="13"/>
        <v/>
      </c>
      <c r="AG774" s="683" t="str">
        <f t="shared" si="14"/>
        <v/>
      </c>
      <c r="AH774" s="683" t="str">
        <f t="shared" si="15"/>
        <v/>
      </c>
      <c r="AI774" s="683" t="str">
        <f t="shared" si="16"/>
        <v/>
      </c>
      <c r="AJ774" s="683" t="str">
        <f t="shared" si="17"/>
        <v/>
      </c>
      <c r="AK774" s="683" t="str">
        <f t="shared" si="18"/>
        <v/>
      </c>
      <c r="AL774" s="683" t="str">
        <f t="shared" si="19"/>
        <v/>
      </c>
      <c r="AM774" s="683" t="str">
        <f t="shared" si="20"/>
        <v/>
      </c>
      <c r="AN774" s="683" t="str">
        <f t="shared" si="21"/>
        <v/>
      </c>
      <c r="AO774" s="683" t="str">
        <f t="shared" si="22"/>
        <v/>
      </c>
      <c r="AP774" s="683" t="str">
        <f t="shared" si="23"/>
        <v/>
      </c>
      <c r="AQ774" s="683" t="str">
        <f t="shared" si="24"/>
        <v/>
      </c>
      <c r="AR774" s="683" t="str">
        <f t="shared" si="25"/>
        <v/>
      </c>
      <c r="AS774" s="683" t="str">
        <f t="shared" si="26"/>
        <v/>
      </c>
      <c r="AT774" s="683" t="str">
        <f t="shared" si="27"/>
        <v/>
      </c>
      <c r="AU774" s="683" t="str">
        <f t="shared" si="28"/>
        <v/>
      </c>
      <c r="AV774" s="683" t="str">
        <f t="shared" si="29"/>
        <v/>
      </c>
      <c r="AW774" s="683" t="str">
        <f t="shared" si="30"/>
        <v/>
      </c>
      <c r="AX774" s="683" t="str">
        <f t="shared" si="31"/>
        <v/>
      </c>
      <c r="AY774" s="683">
        <f t="shared" si="32"/>
        <v>1</v>
      </c>
      <c r="AZ774" s="683" t="str">
        <f t="shared" si="33"/>
        <v/>
      </c>
      <c r="BA774" s="683" t="str">
        <f t="shared" si="34"/>
        <v/>
      </c>
      <c r="BB774" s="683" t="str">
        <f t="shared" si="35"/>
        <v/>
      </c>
      <c r="BC774" s="683" t="str">
        <f t="shared" si="36"/>
        <v/>
      </c>
      <c r="BD774" s="683" t="str">
        <f t="shared" si="37"/>
        <v/>
      </c>
      <c r="BE774" s="683" t="str">
        <f t="shared" si="38"/>
        <v/>
      </c>
      <c r="BF774" s="683" t="str">
        <f t="shared" si="39"/>
        <v/>
      </c>
      <c r="BG774" s="683" t="str">
        <f t="shared" si="40"/>
        <v/>
      </c>
      <c r="BH774" s="683" t="str">
        <f t="shared" si="41"/>
        <v/>
      </c>
      <c r="BI774" s="683" t="str">
        <f t="shared" si="42"/>
        <v/>
      </c>
      <c r="BJ774" s="683" t="str">
        <f t="shared" si="43"/>
        <v/>
      </c>
      <c r="BK774" s="683" t="str">
        <f t="shared" si="44"/>
        <v/>
      </c>
      <c r="BL774" s="683" t="str">
        <f t="shared" si="45"/>
        <v/>
      </c>
      <c r="BM774" s="683" t="str">
        <f t="shared" si="46"/>
        <v/>
      </c>
      <c r="BN774" s="683" t="str">
        <f t="shared" si="47"/>
        <v/>
      </c>
      <c r="BO774" s="683" t="str">
        <f t="shared" si="48"/>
        <v/>
      </c>
      <c r="BP774" s="683" t="str">
        <f t="shared" si="49"/>
        <v/>
      </c>
      <c r="BQ774" s="683" t="str">
        <f t="shared" si="50"/>
        <v/>
      </c>
      <c r="BR774" s="683" t="str">
        <f t="shared" si="51"/>
        <v/>
      </c>
      <c r="BS774" s="683" t="str">
        <f t="shared" si="52"/>
        <v/>
      </c>
      <c r="BT774" s="683" t="str">
        <f t="shared" si="53"/>
        <v/>
      </c>
      <c r="BU774" s="683" t="str">
        <f t="shared" si="54"/>
        <v/>
      </c>
      <c r="BV774" s="683" t="str">
        <f t="shared" si="55"/>
        <v/>
      </c>
      <c r="BW774" s="683" t="str">
        <f t="shared" si="56"/>
        <v/>
      </c>
      <c r="BX774" s="683" t="str">
        <f t="shared" si="57"/>
        <v/>
      </c>
      <c r="BY774" s="683" t="str">
        <f t="shared" si="58"/>
        <v/>
      </c>
      <c r="BZ774" s="683" t="str">
        <f t="shared" si="59"/>
        <v/>
      </c>
      <c r="CA774" s="683" t="str">
        <f t="shared" si="60"/>
        <v/>
      </c>
      <c r="CB774" s="683" t="str">
        <f t="shared" si="61"/>
        <v/>
      </c>
      <c r="CC774" s="683" t="str">
        <f t="shared" si="62"/>
        <v/>
      </c>
      <c r="CD774" s="683" t="str">
        <f t="shared" si="63"/>
        <v/>
      </c>
      <c r="CE774" s="683" t="str">
        <f t="shared" si="64"/>
        <v/>
      </c>
      <c r="CF774" s="683" t="str">
        <f t="shared" si="65"/>
        <v/>
      </c>
      <c r="CG774" s="683" t="str">
        <f t="shared" si="66"/>
        <v/>
      </c>
      <c r="CH774" s="683">
        <f t="shared" si="67"/>
        <v>1464</v>
      </c>
      <c r="CI774" s="683" t="str">
        <f t="shared" si="68"/>
        <v/>
      </c>
      <c r="CJ774" s="683" t="str">
        <f t="shared" si="69"/>
        <v/>
      </c>
      <c r="CK774" s="683" t="str">
        <f t="shared" si="70"/>
        <v/>
      </c>
      <c r="CL774" s="683" t="str">
        <f t="shared" si="71"/>
        <v/>
      </c>
      <c r="CM774" s="683" t="str">
        <f t="shared" si="72"/>
        <v/>
      </c>
      <c r="CN774" s="683" t="str">
        <f t="shared" si="73"/>
        <v/>
      </c>
      <c r="CO774" s="683" t="str">
        <f t="shared" si="74"/>
        <v/>
      </c>
      <c r="CP774" s="683" t="str">
        <f t="shared" si="75"/>
        <v/>
      </c>
      <c r="CQ774" s="683" t="str">
        <f t="shared" si="76"/>
        <v/>
      </c>
      <c r="CR774" s="683" t="str">
        <f t="shared" si="77"/>
        <v/>
      </c>
      <c r="CS774" s="683" t="str">
        <f t="shared" si="78"/>
        <v/>
      </c>
      <c r="CT774" s="683" t="str">
        <f t="shared" si="79"/>
        <v/>
      </c>
      <c r="CU774" s="683" t="str">
        <f t="shared" si="80"/>
        <v/>
      </c>
      <c r="CV774" s="683" t="str">
        <f t="shared" si="81"/>
        <v/>
      </c>
      <c r="CW774" s="683">
        <f t="shared" si="82"/>
        <v>1464</v>
      </c>
      <c r="CX774" s="683" t="str">
        <f t="shared" si="83"/>
        <v/>
      </c>
      <c r="CY774" s="683" t="str">
        <f t="shared" si="84"/>
        <v/>
      </c>
      <c r="CZ774" s="683" t="str">
        <f t="shared" si="85"/>
        <v/>
      </c>
      <c r="DA774" s="683" t="str">
        <f t="shared" si="86"/>
        <v/>
      </c>
      <c r="DB774" s="683" t="str">
        <f t="shared" si="87"/>
        <v/>
      </c>
      <c r="DC774" s="683" t="str">
        <f t="shared" si="88"/>
        <v/>
      </c>
      <c r="DD774" s="683" t="str">
        <f t="shared" si="89"/>
        <v/>
      </c>
      <c r="DE774" s="683" t="str">
        <f t="shared" si="90"/>
        <v/>
      </c>
      <c r="DF774" s="683" t="str">
        <f t="shared" si="91"/>
        <v/>
      </c>
      <c r="DG774" s="683">
        <f t="shared" si="92"/>
        <v>1</v>
      </c>
      <c r="DH774" s="683" t="str">
        <f t="shared" si="93"/>
        <v/>
      </c>
      <c r="DI774" s="683" t="str">
        <f t="shared" si="94"/>
        <v/>
      </c>
      <c r="DJ774" s="683" t="str">
        <f t="shared" si="95"/>
        <v/>
      </c>
      <c r="DK774" s="683" t="str">
        <f t="shared" si="96"/>
        <v/>
      </c>
      <c r="DL774" s="683" t="str">
        <f t="shared" si="97"/>
        <v/>
      </c>
      <c r="DM774" s="683" t="str">
        <f t="shared" si="98"/>
        <v/>
      </c>
      <c r="DN774" s="683" t="str">
        <f t="shared" si="99"/>
        <v/>
      </c>
      <c r="DO774" s="683" t="str">
        <f t="shared" si="100"/>
        <v/>
      </c>
      <c r="DP774" s="683" t="str">
        <f t="shared" si="101"/>
        <v/>
      </c>
      <c r="DQ774" s="683" t="str">
        <f t="shared" si="102"/>
        <v/>
      </c>
      <c r="DR774" s="683" t="str">
        <f t="shared" si="103"/>
        <v/>
      </c>
      <c r="DS774" s="683" t="str">
        <f t="shared" si="104"/>
        <v/>
      </c>
      <c r="DT774" s="683" t="str">
        <f t="shared" si="105"/>
        <v/>
      </c>
      <c r="DU774" s="683" t="str">
        <f t="shared" si="106"/>
        <v/>
      </c>
      <c r="DV774" s="683" t="str">
        <f t="shared" si="107"/>
        <v/>
      </c>
      <c r="DW774" s="683" t="str">
        <f t="shared" si="108"/>
        <v/>
      </c>
      <c r="DX774" s="683" t="str">
        <f t="shared" si="109"/>
        <v/>
      </c>
      <c r="DY774" s="683" t="str">
        <f t="shared" si="110"/>
        <v/>
      </c>
      <c r="DZ774" s="683" t="str">
        <f t="shared" si="111"/>
        <v/>
      </c>
      <c r="EA774" s="683" t="str">
        <f t="shared" si="112"/>
        <v/>
      </c>
      <c r="EB774" s="683" t="str">
        <f t="shared" si="113"/>
        <v/>
      </c>
      <c r="EC774" s="683" t="str">
        <f t="shared" si="114"/>
        <v/>
      </c>
      <c r="ED774" s="683" t="str">
        <f t="shared" si="115"/>
        <v/>
      </c>
      <c r="EE774" s="683" t="str">
        <f t="shared" si="116"/>
        <v/>
      </c>
      <c r="EF774" s="683" t="str">
        <f t="shared" si="117"/>
        <v/>
      </c>
      <c r="EG774" s="683" t="str">
        <f t="shared" si="118"/>
        <v/>
      </c>
      <c r="EH774" s="683" t="str">
        <f t="shared" si="119"/>
        <v/>
      </c>
      <c r="EI774" s="683" t="str">
        <f t="shared" si="120"/>
        <v/>
      </c>
      <c r="EJ774" s="683" t="str">
        <f t="shared" si="121"/>
        <v/>
      </c>
      <c r="EK774" s="683" t="str">
        <f t="shared" si="122"/>
        <v/>
      </c>
      <c r="EL774" s="683" t="str">
        <f t="shared" si="123"/>
        <v/>
      </c>
      <c r="EM774" s="683" t="str">
        <f t="shared" si="124"/>
        <v/>
      </c>
      <c r="EN774" s="683" t="str">
        <f t="shared" si="125"/>
        <v/>
      </c>
      <c r="EO774" s="683" t="str">
        <f t="shared" si="126"/>
        <v/>
      </c>
      <c r="EP774" s="683" t="str">
        <f t="shared" si="127"/>
        <v/>
      </c>
      <c r="EQ774" s="683" t="str">
        <f t="shared" si="128"/>
        <v/>
      </c>
      <c r="ER774" s="683" t="str">
        <f t="shared" si="129"/>
        <v/>
      </c>
      <c r="ES774" s="683" t="str">
        <f t="shared" si="130"/>
        <v/>
      </c>
      <c r="ET774" s="683" t="str">
        <f t="shared" si="131"/>
        <v/>
      </c>
      <c r="EU774" s="683" t="str">
        <f t="shared" si="132"/>
        <v/>
      </c>
      <c r="EV774" s="683" t="str">
        <f t="shared" si="133"/>
        <v/>
      </c>
      <c r="EW774" s="1854" t="str">
        <f t="shared" si="134"/>
        <v/>
      </c>
      <c r="EX774" s="1854" t="str">
        <f t="shared" si="135"/>
        <v/>
      </c>
      <c r="EY774" s="1854" t="str">
        <f t="shared" si="136"/>
        <v/>
      </c>
      <c r="EZ774" s="1854">
        <f t="shared" si="137"/>
        <v>1</v>
      </c>
      <c r="FA774" s="1854" t="str">
        <f t="shared" si="138"/>
        <v/>
      </c>
      <c r="FB774" s="1854" t="str">
        <f t="shared" si="139"/>
        <v/>
      </c>
      <c r="FC774" s="1854" t="str">
        <f t="shared" si="140"/>
        <v/>
      </c>
      <c r="FD774" s="1854" t="str">
        <f t="shared" si="141"/>
        <v/>
      </c>
      <c r="FE774" s="1854" t="str">
        <f t="shared" si="142"/>
        <v/>
      </c>
      <c r="FF774" s="1854" t="str">
        <f t="shared" si="143"/>
        <v/>
      </c>
      <c r="FG774" s="1854" t="str">
        <f t="shared" si="144"/>
        <v/>
      </c>
      <c r="FH774" s="1854" t="str">
        <f t="shared" si="145"/>
        <v/>
      </c>
      <c r="FI774" s="1854" t="str">
        <f t="shared" si="146"/>
        <v/>
      </c>
      <c r="FJ774" s="1854" t="str">
        <f t="shared" si="147"/>
        <v/>
      </c>
      <c r="FK774" s="1854" t="str">
        <f t="shared" si="148"/>
        <v/>
      </c>
      <c r="FL774" s="1854" t="str">
        <f t="shared" si="149"/>
        <v/>
      </c>
      <c r="FM774" s="1854" t="str">
        <f t="shared" si="150"/>
        <v/>
      </c>
      <c r="FN774" s="1854" t="str">
        <f t="shared" si="151"/>
        <v/>
      </c>
      <c r="FO774" s="1854" t="str">
        <f t="shared" si="152"/>
        <v/>
      </c>
      <c r="FP774" s="1854" t="str">
        <f t="shared" si="153"/>
        <v/>
      </c>
      <c r="FQ774" s="1854" t="str">
        <f t="shared" si="154"/>
        <v/>
      </c>
      <c r="FR774" s="1854" t="str">
        <f t="shared" si="155"/>
        <v/>
      </c>
      <c r="FS774" s="1854" t="str">
        <f t="shared" si="156"/>
        <v/>
      </c>
      <c r="FT774" s="1854" t="str">
        <f t="shared" si="157"/>
        <v/>
      </c>
      <c r="FU774" s="1854" t="str">
        <f t="shared" si="158"/>
        <v/>
      </c>
      <c r="FV774" s="1854" t="str">
        <f t="shared" si="159"/>
        <v/>
      </c>
      <c r="FW774" s="1854" t="str">
        <f t="shared" si="160"/>
        <v/>
      </c>
      <c r="FX774" s="1854" t="str">
        <f t="shared" si="161"/>
        <v/>
      </c>
      <c r="FY774" s="1854" t="str">
        <f t="shared" si="162"/>
        <v/>
      </c>
      <c r="FZ774" s="1854" t="str">
        <f t="shared" si="163"/>
        <v/>
      </c>
      <c r="GA774" s="1854" t="str">
        <f t="shared" si="164"/>
        <v/>
      </c>
      <c r="GB774" s="1854" t="str">
        <f t="shared" si="165"/>
        <v/>
      </c>
      <c r="GC774" s="1854" t="str">
        <f t="shared" si="166"/>
        <v/>
      </c>
      <c r="GD774" s="1854" t="str">
        <f t="shared" si="167"/>
        <v/>
      </c>
      <c r="GE774" s="1854" t="str">
        <f t="shared" si="168"/>
        <v/>
      </c>
      <c r="GF774" s="1854" t="str">
        <f t="shared" si="169"/>
        <v/>
      </c>
      <c r="GG774" s="1854" t="str">
        <f t="shared" si="170"/>
        <v/>
      </c>
      <c r="GH774" s="1854" t="str">
        <f t="shared" si="171"/>
        <v/>
      </c>
      <c r="GI774" s="1854" t="str">
        <f t="shared" si="172"/>
        <v/>
      </c>
      <c r="GJ774" s="1854" t="str">
        <f t="shared" si="173"/>
        <v/>
      </c>
      <c r="GK774" s="1854" t="str">
        <f t="shared" si="174"/>
        <v/>
      </c>
      <c r="GL774" s="1854" t="str">
        <f t="shared" si="175"/>
        <v/>
      </c>
      <c r="GM774" s="1854" t="str">
        <f t="shared" si="176"/>
        <v/>
      </c>
      <c r="GN774" s="1854" t="str">
        <f t="shared" si="177"/>
        <v/>
      </c>
      <c r="GO774" s="1854" t="str">
        <f t="shared" si="178"/>
        <v/>
      </c>
      <c r="GP774" s="1854" t="str">
        <f t="shared" si="179"/>
        <v/>
      </c>
      <c r="GQ774" s="1854" t="str">
        <f t="shared" si="180"/>
        <v/>
      </c>
      <c r="GR774" s="1854" t="str">
        <f t="shared" si="181"/>
        <v/>
      </c>
      <c r="GS774" s="1854" t="str">
        <f t="shared" si="182"/>
        <v/>
      </c>
      <c r="GT774" s="1854" t="str">
        <f t="shared" si="183"/>
        <v/>
      </c>
      <c r="GU774" s="1854" t="str">
        <f t="shared" si="184"/>
        <v/>
      </c>
      <c r="GV774" s="1854" t="str">
        <f t="shared" si="185"/>
        <v/>
      </c>
      <c r="GW774" s="1854" t="str">
        <f t="shared" si="186"/>
        <v/>
      </c>
      <c r="GX774" s="1854" t="str">
        <f t="shared" si="187"/>
        <v/>
      </c>
      <c r="GY774" s="1854" t="str">
        <f t="shared" si="188"/>
        <v/>
      </c>
      <c r="GZ774" s="1854" t="str">
        <f t="shared" si="189"/>
        <v/>
      </c>
      <c r="HA774" s="1854" t="str">
        <f t="shared" si="190"/>
        <v/>
      </c>
      <c r="HB774" s="1854" t="str">
        <f t="shared" si="191"/>
        <v/>
      </c>
      <c r="HC774" s="1854" t="str">
        <f t="shared" si="192"/>
        <v/>
      </c>
      <c r="HD774" s="1854" t="str">
        <f t="shared" si="193"/>
        <v/>
      </c>
      <c r="HE774" s="1854" t="str">
        <f t="shared" si="194"/>
        <v/>
      </c>
      <c r="HF774" s="1854" t="str">
        <f t="shared" si="195"/>
        <v/>
      </c>
      <c r="HG774" s="1854" t="str">
        <f t="shared" si="196"/>
        <v/>
      </c>
      <c r="HH774" s="1854" t="str">
        <f t="shared" si="197"/>
        <v/>
      </c>
      <c r="HI774" s="1854" t="str">
        <f t="shared" si="198"/>
        <v/>
      </c>
      <c r="HJ774" s="1854" t="str">
        <f t="shared" si="199"/>
        <v/>
      </c>
      <c r="HK774" s="1854" t="str">
        <f t="shared" si="200"/>
        <v/>
      </c>
      <c r="HL774" s="1854" t="str">
        <f t="shared" si="201"/>
        <v/>
      </c>
      <c r="HM774" s="1854">
        <f t="shared" si="202"/>
        <v>1</v>
      </c>
      <c r="HN774" s="1854" t="str">
        <f t="shared" si="203"/>
        <v/>
      </c>
      <c r="HO774" s="1854" t="str">
        <f t="shared" si="204"/>
        <v/>
      </c>
      <c r="HP774" s="1854" t="str">
        <f t="shared" si="205"/>
        <v/>
      </c>
      <c r="HQ774" s="1854" t="str">
        <f t="shared" si="206"/>
        <v/>
      </c>
      <c r="HR774" s="1854" t="str">
        <f t="shared" si="207"/>
        <v/>
      </c>
      <c r="HS774" s="1854" t="str">
        <f t="shared" si="208"/>
        <v/>
      </c>
      <c r="HT774" s="1854" t="str">
        <f t="shared" si="209"/>
        <v/>
      </c>
      <c r="HU774" s="1854" t="str">
        <f t="shared" si="210"/>
        <v/>
      </c>
      <c r="HV774" s="1854" t="str">
        <f t="shared" si="211"/>
        <v/>
      </c>
      <c r="HW774" s="1854" t="str">
        <f t="shared" si="212"/>
        <v/>
      </c>
      <c r="HX774" s="1854" t="str">
        <f t="shared" si="213"/>
        <v/>
      </c>
      <c r="HY774" s="1854" t="str">
        <f t="shared" si="214"/>
        <v/>
      </c>
      <c r="HZ774" s="1854" t="str">
        <f t="shared" si="215"/>
        <v/>
      </c>
      <c r="IA774" s="1854" t="str">
        <f t="shared" si="216"/>
        <v/>
      </c>
      <c r="IB774" s="1854" t="str">
        <f t="shared" si="217"/>
        <v/>
      </c>
      <c r="IC774" s="1854" t="str">
        <f t="shared" si="218"/>
        <v/>
      </c>
      <c r="ID774" s="1826" t="str">
        <f t="shared" si="219"/>
        <v/>
      </c>
      <c r="IE774" s="1826" t="str">
        <f t="shared" si="220"/>
        <v/>
      </c>
      <c r="IF774" s="1826" t="str">
        <f t="shared" si="221"/>
        <v/>
      </c>
      <c r="IG774" s="1826" t="str">
        <f t="shared" si="222"/>
        <v/>
      </c>
      <c r="IH774" s="1826" t="str">
        <f t="shared" si="223"/>
        <v/>
      </c>
      <c r="II774" s="683" t="str">
        <f t="shared" si="224"/>
        <v/>
      </c>
      <c r="IJ774" s="683" t="str">
        <f t="shared" si="225"/>
        <v/>
      </c>
      <c r="IK774" s="683" t="str">
        <f t="shared" si="226"/>
        <v/>
      </c>
      <c r="IL774" s="683" t="str">
        <f t="shared" si="227"/>
        <v/>
      </c>
      <c r="IM774" s="683" t="str">
        <f t="shared" si="228"/>
        <v/>
      </c>
      <c r="IN774" s="683" t="str">
        <f t="shared" si="229"/>
        <v/>
      </c>
      <c r="IO774" s="683" t="str">
        <f t="shared" si="230"/>
        <v/>
      </c>
      <c r="IP774" s="683" t="str">
        <f t="shared" si="231"/>
        <v/>
      </c>
      <c r="IQ774" s="683" t="str">
        <f t="shared" si="232"/>
        <v/>
      </c>
      <c r="IR774" s="683" t="str">
        <f t="shared" si="233"/>
        <v/>
      </c>
      <c r="IS774" s="683" t="str">
        <f t="shared" si="234"/>
        <v/>
      </c>
      <c r="IT774" s="683" t="str">
        <f t="shared" si="235"/>
        <v/>
      </c>
      <c r="IU774" s="683" t="str">
        <f t="shared" si="236"/>
        <v/>
      </c>
      <c r="IV774" s="683" t="str">
        <f t="shared" si="237"/>
        <v/>
      </c>
      <c r="IW774" s="683" t="str">
        <f t="shared" si="238"/>
        <v/>
      </c>
      <c r="IX774" s="683" t="str">
        <f t="shared" si="239"/>
        <v/>
      </c>
      <c r="IY774" s="683" t="str">
        <f t="shared" si="240"/>
        <v/>
      </c>
      <c r="IZ774" s="683" t="str">
        <f t="shared" si="241"/>
        <v/>
      </c>
      <c r="JA774" s="683" t="str">
        <f t="shared" si="242"/>
        <v/>
      </c>
      <c r="JB774" s="683" t="str">
        <f t="shared" si="243"/>
        <v/>
      </c>
      <c r="JC774" s="1824">
        <f t="shared" si="244"/>
        <v>0</v>
      </c>
      <c r="JD774" s="1824">
        <f t="shared" si="245"/>
        <v>0</v>
      </c>
      <c r="JE774" s="1824">
        <f t="shared" si="246"/>
        <v>0</v>
      </c>
      <c r="JF774" s="1824">
        <f t="shared" si="247"/>
        <v>0</v>
      </c>
      <c r="JG774" s="1824">
        <f t="shared" si="248"/>
        <v>0</v>
      </c>
      <c r="JH774" s="1824">
        <f t="shared" si="249"/>
        <v>0</v>
      </c>
      <c r="JI774" s="1824">
        <f t="shared" si="250"/>
        <v>0</v>
      </c>
      <c r="JJ774" s="1824">
        <f t="shared" si="251"/>
        <v>0</v>
      </c>
      <c r="JK774" s="1824">
        <f t="shared" si="252"/>
        <v>1</v>
      </c>
      <c r="JL774" s="1824">
        <f t="shared" si="253"/>
        <v>0</v>
      </c>
      <c r="JM774" s="1824">
        <f t="shared" si="254"/>
        <v>0</v>
      </c>
      <c r="JN774" s="1824">
        <f t="shared" si="255"/>
        <v>0</v>
      </c>
      <c r="JO774" s="1824">
        <f t="shared" si="256"/>
        <v>0</v>
      </c>
      <c r="JP774" s="1824">
        <f t="shared" si="257"/>
        <v>0</v>
      </c>
      <c r="JQ774" s="1824">
        <f t="shared" si="258"/>
        <v>0</v>
      </c>
    </row>
    <row r="775" spans="1:277" ht="12" customHeight="1">
      <c r="A775" s="1837" t="str">
        <f t="shared" si="1"/>
        <v/>
      </c>
      <c r="B775" s="1846" t="str">
        <f>'Part VI-Revenues &amp; Expenses'!B18</f>
        <v>60% AMI</v>
      </c>
      <c r="C775" s="1847">
        <f>'Part VI-Revenues &amp; Expenses'!C18</f>
        <v>3</v>
      </c>
      <c r="D775" s="1848">
        <f>'Part VI-Revenues &amp; Expenses'!D18</f>
        <v>3</v>
      </c>
      <c r="E775" s="1849">
        <f>'Part VI-Revenues &amp; Expenses'!E18</f>
        <v>11</v>
      </c>
      <c r="F775" s="1849">
        <f>'Part VI-Revenues &amp; Expenses'!F18</f>
        <v>1604</v>
      </c>
      <c r="G775" s="1849">
        <f>'Part VI-Revenues &amp; Expenses'!G18</f>
        <v>774</v>
      </c>
      <c r="H775" s="1849">
        <f>'Part VI-Revenues &amp; Expenses'!H18</f>
        <v>774</v>
      </c>
      <c r="I775" s="1849">
        <f>'Part VI-Revenues &amp; Expenses'!I18</f>
        <v>192</v>
      </c>
      <c r="J775" s="1850">
        <f>'Part VI-Revenues &amp; Expenses'!J18</f>
        <v>0</v>
      </c>
      <c r="K775" s="1851">
        <f t="shared" si="2"/>
        <v>582</v>
      </c>
      <c r="L775" s="1851">
        <f t="shared" si="3"/>
        <v>6402</v>
      </c>
      <c r="M775" s="1725" t="str">
        <f>'Part VI-Revenues &amp; Expenses'!M18</f>
        <v>No</v>
      </c>
      <c r="N775" s="1725" t="str">
        <f>'Part VI-Revenues &amp; Expenses'!N18</f>
        <v>Duplex</v>
      </c>
      <c r="O775" s="1725" t="str">
        <f>'Part VI-Revenues &amp; Expenses'!O18</f>
        <v>New Construction</v>
      </c>
      <c r="P775" s="1831" t="str">
        <f>'Part VI-Revenues &amp; Expenses'!P18</f>
        <v>No</v>
      </c>
      <c r="Q775" s="1852">
        <f>'Part VI-Revenues &amp; Expenses'!Q18</f>
        <v>30960</v>
      </c>
      <c r="R775" s="1853">
        <f>'Part VI-Revenues &amp; Expenses'!R18</f>
        <v>0.60018610421836227</v>
      </c>
      <c r="S775" s="1852">
        <f>'Part VI-Revenues &amp; Expenses'!S18</f>
        <v>0</v>
      </c>
      <c r="T775" s="1853">
        <f>'Part VI-Revenues &amp; Expenses'!T18</f>
        <v>0</v>
      </c>
      <c r="U775" s="1775"/>
      <c r="V775" s="1775"/>
      <c r="W775" s="683" t="str">
        <f t="shared" si="4"/>
        <v/>
      </c>
      <c r="X775" s="683" t="str">
        <f t="shared" si="5"/>
        <v/>
      </c>
      <c r="Y775" s="683" t="str">
        <f t="shared" si="6"/>
        <v/>
      </c>
      <c r="Z775" s="683">
        <f t="shared" si="7"/>
        <v>11</v>
      </c>
      <c r="AA775" s="683" t="str">
        <f t="shared" si="8"/>
        <v/>
      </c>
      <c r="AB775" s="683" t="str">
        <f t="shared" si="9"/>
        <v/>
      </c>
      <c r="AC775" s="683" t="str">
        <f t="shared" si="10"/>
        <v/>
      </c>
      <c r="AD775" s="683" t="str">
        <f t="shared" si="11"/>
        <v/>
      </c>
      <c r="AE775" s="683" t="str">
        <f t="shared" si="12"/>
        <v/>
      </c>
      <c r="AF775" s="683" t="str">
        <f t="shared" si="13"/>
        <v/>
      </c>
      <c r="AG775" s="683" t="str">
        <f t="shared" si="14"/>
        <v/>
      </c>
      <c r="AH775" s="683" t="str">
        <f t="shared" si="15"/>
        <v/>
      </c>
      <c r="AI775" s="683" t="str">
        <f t="shared" si="16"/>
        <v/>
      </c>
      <c r="AJ775" s="683" t="str">
        <f t="shared" si="17"/>
        <v/>
      </c>
      <c r="AK775" s="683" t="str">
        <f t="shared" si="18"/>
        <v/>
      </c>
      <c r="AL775" s="683" t="str">
        <f t="shared" si="19"/>
        <v/>
      </c>
      <c r="AM775" s="683" t="str">
        <f t="shared" si="20"/>
        <v/>
      </c>
      <c r="AN775" s="683" t="str">
        <f t="shared" si="21"/>
        <v/>
      </c>
      <c r="AO775" s="683" t="str">
        <f t="shared" si="22"/>
        <v/>
      </c>
      <c r="AP775" s="683" t="str">
        <f t="shared" si="23"/>
        <v/>
      </c>
      <c r="AQ775" s="683" t="str">
        <f t="shared" si="24"/>
        <v/>
      </c>
      <c r="AR775" s="683" t="str">
        <f t="shared" si="25"/>
        <v/>
      </c>
      <c r="AS775" s="683" t="str">
        <f t="shared" si="26"/>
        <v/>
      </c>
      <c r="AT775" s="683" t="str">
        <f t="shared" si="27"/>
        <v/>
      </c>
      <c r="AU775" s="683" t="str">
        <f t="shared" si="28"/>
        <v/>
      </c>
      <c r="AV775" s="683" t="str">
        <f t="shared" si="29"/>
        <v/>
      </c>
      <c r="AW775" s="683" t="str">
        <f t="shared" si="30"/>
        <v/>
      </c>
      <c r="AX775" s="683" t="str">
        <f t="shared" si="31"/>
        <v/>
      </c>
      <c r="AY775" s="683" t="str">
        <f t="shared" si="32"/>
        <v/>
      </c>
      <c r="AZ775" s="683" t="str">
        <f t="shared" si="33"/>
        <v/>
      </c>
      <c r="BA775" s="683" t="str">
        <f t="shared" si="34"/>
        <v/>
      </c>
      <c r="BB775" s="683" t="str">
        <f t="shared" si="35"/>
        <v/>
      </c>
      <c r="BC775" s="683" t="str">
        <f t="shared" si="36"/>
        <v/>
      </c>
      <c r="BD775" s="683" t="str">
        <f t="shared" si="37"/>
        <v/>
      </c>
      <c r="BE775" s="683" t="str">
        <f t="shared" si="38"/>
        <v/>
      </c>
      <c r="BF775" s="683" t="str">
        <f t="shared" si="39"/>
        <v/>
      </c>
      <c r="BG775" s="683" t="str">
        <f t="shared" si="40"/>
        <v/>
      </c>
      <c r="BH775" s="683" t="str">
        <f t="shared" si="41"/>
        <v/>
      </c>
      <c r="BI775" s="683" t="str">
        <f t="shared" si="42"/>
        <v/>
      </c>
      <c r="BJ775" s="683" t="str">
        <f t="shared" si="43"/>
        <v/>
      </c>
      <c r="BK775" s="683" t="str">
        <f t="shared" si="44"/>
        <v/>
      </c>
      <c r="BL775" s="683" t="str">
        <f t="shared" si="45"/>
        <v/>
      </c>
      <c r="BM775" s="683" t="str">
        <f t="shared" si="46"/>
        <v/>
      </c>
      <c r="BN775" s="683" t="str">
        <f t="shared" si="47"/>
        <v/>
      </c>
      <c r="BO775" s="683" t="str">
        <f t="shared" si="48"/>
        <v/>
      </c>
      <c r="BP775" s="683" t="str">
        <f t="shared" si="49"/>
        <v/>
      </c>
      <c r="BQ775" s="683" t="str">
        <f t="shared" si="50"/>
        <v/>
      </c>
      <c r="BR775" s="683" t="str">
        <f t="shared" si="51"/>
        <v/>
      </c>
      <c r="BS775" s="683" t="str">
        <f t="shared" si="52"/>
        <v/>
      </c>
      <c r="BT775" s="683" t="str">
        <f t="shared" si="53"/>
        <v/>
      </c>
      <c r="BU775" s="683" t="str">
        <f t="shared" si="54"/>
        <v/>
      </c>
      <c r="BV775" s="683" t="str">
        <f t="shared" si="55"/>
        <v/>
      </c>
      <c r="BW775" s="683" t="str">
        <f t="shared" si="56"/>
        <v/>
      </c>
      <c r="BX775" s="683" t="str">
        <f t="shared" si="57"/>
        <v/>
      </c>
      <c r="BY775" s="683" t="str">
        <f t="shared" si="58"/>
        <v/>
      </c>
      <c r="BZ775" s="683" t="str">
        <f t="shared" si="59"/>
        <v/>
      </c>
      <c r="CA775" s="683" t="str">
        <f t="shared" si="60"/>
        <v/>
      </c>
      <c r="CB775" s="683" t="str">
        <f t="shared" si="61"/>
        <v/>
      </c>
      <c r="CC775" s="683">
        <f t="shared" si="62"/>
        <v>17644</v>
      </c>
      <c r="CD775" s="683" t="str">
        <f t="shared" si="63"/>
        <v/>
      </c>
      <c r="CE775" s="683" t="str">
        <f t="shared" si="64"/>
        <v/>
      </c>
      <c r="CF775" s="683" t="str">
        <f t="shared" si="65"/>
        <v/>
      </c>
      <c r="CG775" s="683" t="str">
        <f t="shared" si="66"/>
        <v/>
      </c>
      <c r="CH775" s="683" t="str">
        <f t="shared" si="67"/>
        <v/>
      </c>
      <c r="CI775" s="683" t="str">
        <f t="shared" si="68"/>
        <v/>
      </c>
      <c r="CJ775" s="683" t="str">
        <f t="shared" si="69"/>
        <v/>
      </c>
      <c r="CK775" s="683" t="str">
        <f t="shared" si="70"/>
        <v/>
      </c>
      <c r="CL775" s="683" t="str">
        <f t="shared" si="71"/>
        <v/>
      </c>
      <c r="CM775" s="683" t="str">
        <f t="shared" si="72"/>
        <v/>
      </c>
      <c r="CN775" s="683" t="str">
        <f t="shared" si="73"/>
        <v/>
      </c>
      <c r="CO775" s="683" t="str">
        <f t="shared" si="74"/>
        <v/>
      </c>
      <c r="CP775" s="683" t="str">
        <f t="shared" si="75"/>
        <v/>
      </c>
      <c r="CQ775" s="683" t="str">
        <f t="shared" si="76"/>
        <v/>
      </c>
      <c r="CR775" s="683" t="str">
        <f t="shared" si="77"/>
        <v/>
      </c>
      <c r="CS775" s="683" t="str">
        <f t="shared" si="78"/>
        <v/>
      </c>
      <c r="CT775" s="683" t="str">
        <f t="shared" si="79"/>
        <v/>
      </c>
      <c r="CU775" s="683" t="str">
        <f t="shared" si="80"/>
        <v/>
      </c>
      <c r="CV775" s="683" t="str">
        <f t="shared" si="81"/>
        <v/>
      </c>
      <c r="CW775" s="683" t="str">
        <f t="shared" si="82"/>
        <v/>
      </c>
      <c r="CX775" s="683" t="str">
        <f t="shared" si="83"/>
        <v/>
      </c>
      <c r="CY775" s="683" t="str">
        <f t="shared" si="84"/>
        <v/>
      </c>
      <c r="CZ775" s="683" t="str">
        <f t="shared" si="85"/>
        <v/>
      </c>
      <c r="DA775" s="683" t="str">
        <f t="shared" si="86"/>
        <v/>
      </c>
      <c r="DB775" s="683" t="str">
        <f t="shared" si="87"/>
        <v/>
      </c>
      <c r="DC775" s="683" t="str">
        <f t="shared" si="88"/>
        <v/>
      </c>
      <c r="DD775" s="683" t="str">
        <f t="shared" si="89"/>
        <v/>
      </c>
      <c r="DE775" s="683" t="str">
        <f t="shared" si="90"/>
        <v/>
      </c>
      <c r="DF775" s="683" t="str">
        <f t="shared" si="91"/>
        <v/>
      </c>
      <c r="DG775" s="683">
        <f t="shared" si="92"/>
        <v>11</v>
      </c>
      <c r="DH775" s="683" t="str">
        <f t="shared" si="93"/>
        <v/>
      </c>
      <c r="DI775" s="683" t="str">
        <f t="shared" si="94"/>
        <v/>
      </c>
      <c r="DJ775" s="683" t="str">
        <f t="shared" si="95"/>
        <v/>
      </c>
      <c r="DK775" s="683" t="str">
        <f t="shared" si="96"/>
        <v/>
      </c>
      <c r="DL775" s="683" t="str">
        <f t="shared" si="97"/>
        <v/>
      </c>
      <c r="DM775" s="683" t="str">
        <f t="shared" si="98"/>
        <v/>
      </c>
      <c r="DN775" s="683" t="str">
        <f t="shared" si="99"/>
        <v/>
      </c>
      <c r="DO775" s="683" t="str">
        <f t="shared" si="100"/>
        <v/>
      </c>
      <c r="DP775" s="683" t="str">
        <f t="shared" si="101"/>
        <v/>
      </c>
      <c r="DQ775" s="683" t="str">
        <f t="shared" si="102"/>
        <v/>
      </c>
      <c r="DR775" s="683" t="str">
        <f t="shared" si="103"/>
        <v/>
      </c>
      <c r="DS775" s="683" t="str">
        <f t="shared" si="104"/>
        <v/>
      </c>
      <c r="DT775" s="683" t="str">
        <f t="shared" si="105"/>
        <v/>
      </c>
      <c r="DU775" s="683" t="str">
        <f t="shared" si="106"/>
        <v/>
      </c>
      <c r="DV775" s="683" t="str">
        <f t="shared" si="107"/>
        <v/>
      </c>
      <c r="DW775" s="683" t="str">
        <f t="shared" si="108"/>
        <v/>
      </c>
      <c r="DX775" s="683" t="str">
        <f t="shared" si="109"/>
        <v/>
      </c>
      <c r="DY775" s="683" t="str">
        <f t="shared" si="110"/>
        <v/>
      </c>
      <c r="DZ775" s="683" t="str">
        <f t="shared" si="111"/>
        <v/>
      </c>
      <c r="EA775" s="683" t="str">
        <f t="shared" si="112"/>
        <v/>
      </c>
      <c r="EB775" s="683" t="str">
        <f t="shared" si="113"/>
        <v/>
      </c>
      <c r="EC775" s="683" t="str">
        <f t="shared" si="114"/>
        <v/>
      </c>
      <c r="ED775" s="683" t="str">
        <f t="shared" si="115"/>
        <v/>
      </c>
      <c r="EE775" s="683" t="str">
        <f t="shared" si="116"/>
        <v/>
      </c>
      <c r="EF775" s="683" t="str">
        <f t="shared" si="117"/>
        <v/>
      </c>
      <c r="EG775" s="683" t="str">
        <f t="shared" si="118"/>
        <v/>
      </c>
      <c r="EH775" s="683" t="str">
        <f t="shared" si="119"/>
        <v/>
      </c>
      <c r="EI775" s="683" t="str">
        <f t="shared" si="120"/>
        <v/>
      </c>
      <c r="EJ775" s="683" t="str">
        <f t="shared" si="121"/>
        <v/>
      </c>
      <c r="EK775" s="683" t="str">
        <f t="shared" si="122"/>
        <v/>
      </c>
      <c r="EL775" s="683" t="str">
        <f t="shared" si="123"/>
        <v/>
      </c>
      <c r="EM775" s="683" t="str">
        <f t="shared" si="124"/>
        <v/>
      </c>
      <c r="EN775" s="683" t="str">
        <f t="shared" si="125"/>
        <v/>
      </c>
      <c r="EO775" s="683" t="str">
        <f t="shared" si="126"/>
        <v/>
      </c>
      <c r="EP775" s="683" t="str">
        <f t="shared" si="127"/>
        <v/>
      </c>
      <c r="EQ775" s="683" t="str">
        <f t="shared" si="128"/>
        <v/>
      </c>
      <c r="ER775" s="683" t="str">
        <f t="shared" si="129"/>
        <v/>
      </c>
      <c r="ES775" s="683" t="str">
        <f t="shared" si="130"/>
        <v/>
      </c>
      <c r="ET775" s="683" t="str">
        <f t="shared" si="131"/>
        <v/>
      </c>
      <c r="EU775" s="683" t="str">
        <f t="shared" si="132"/>
        <v/>
      </c>
      <c r="EV775" s="683" t="str">
        <f t="shared" si="133"/>
        <v/>
      </c>
      <c r="EW775" s="1854" t="str">
        <f t="shared" si="134"/>
        <v/>
      </c>
      <c r="EX775" s="1854" t="str">
        <f t="shared" si="135"/>
        <v/>
      </c>
      <c r="EY775" s="1854" t="str">
        <f t="shared" si="136"/>
        <v/>
      </c>
      <c r="EZ775" s="1854" t="str">
        <f t="shared" si="137"/>
        <v/>
      </c>
      <c r="FA775" s="1854" t="str">
        <f t="shared" si="138"/>
        <v/>
      </c>
      <c r="FB775" s="1854" t="str">
        <f t="shared" si="139"/>
        <v/>
      </c>
      <c r="FC775" s="1854" t="str">
        <f t="shared" si="140"/>
        <v/>
      </c>
      <c r="FD775" s="1854" t="str">
        <f t="shared" si="141"/>
        <v/>
      </c>
      <c r="FE775" s="1854" t="str">
        <f t="shared" si="142"/>
        <v/>
      </c>
      <c r="FF775" s="1854" t="str">
        <f t="shared" si="143"/>
        <v/>
      </c>
      <c r="FG775" s="1854" t="str">
        <f t="shared" si="144"/>
        <v/>
      </c>
      <c r="FH775" s="1854" t="str">
        <f t="shared" si="145"/>
        <v/>
      </c>
      <c r="FI775" s="1854" t="str">
        <f t="shared" si="146"/>
        <v/>
      </c>
      <c r="FJ775" s="1854" t="str">
        <f t="shared" si="147"/>
        <v/>
      </c>
      <c r="FK775" s="1854" t="str">
        <f t="shared" si="148"/>
        <v/>
      </c>
      <c r="FL775" s="1854" t="str">
        <f t="shared" si="149"/>
        <v/>
      </c>
      <c r="FM775" s="1854" t="str">
        <f t="shared" si="150"/>
        <v/>
      </c>
      <c r="FN775" s="1854" t="str">
        <f t="shared" si="151"/>
        <v/>
      </c>
      <c r="FO775" s="1854" t="str">
        <f t="shared" si="152"/>
        <v/>
      </c>
      <c r="FP775" s="1854" t="str">
        <f t="shared" si="153"/>
        <v/>
      </c>
      <c r="FQ775" s="1854" t="str">
        <f t="shared" si="154"/>
        <v/>
      </c>
      <c r="FR775" s="1854" t="str">
        <f t="shared" si="155"/>
        <v/>
      </c>
      <c r="FS775" s="1854" t="str">
        <f t="shared" si="156"/>
        <v/>
      </c>
      <c r="FT775" s="1854" t="str">
        <f t="shared" si="157"/>
        <v/>
      </c>
      <c r="FU775" s="1854" t="str">
        <f t="shared" si="158"/>
        <v/>
      </c>
      <c r="FV775" s="1854" t="str">
        <f t="shared" si="159"/>
        <v/>
      </c>
      <c r="FW775" s="1854" t="str">
        <f t="shared" si="160"/>
        <v/>
      </c>
      <c r="FX775" s="1854" t="str">
        <f t="shared" si="161"/>
        <v/>
      </c>
      <c r="FY775" s="1854">
        <f t="shared" si="162"/>
        <v>11</v>
      </c>
      <c r="FZ775" s="1854" t="str">
        <f t="shared" si="163"/>
        <v/>
      </c>
      <c r="GA775" s="1854" t="str">
        <f t="shared" si="164"/>
        <v/>
      </c>
      <c r="GB775" s="1854" t="str">
        <f t="shared" si="165"/>
        <v/>
      </c>
      <c r="GC775" s="1854" t="str">
        <f t="shared" si="166"/>
        <v/>
      </c>
      <c r="GD775" s="1854" t="str">
        <f t="shared" si="167"/>
        <v/>
      </c>
      <c r="GE775" s="1854" t="str">
        <f t="shared" si="168"/>
        <v/>
      </c>
      <c r="GF775" s="1854" t="str">
        <f t="shared" si="169"/>
        <v/>
      </c>
      <c r="GG775" s="1854" t="str">
        <f t="shared" si="170"/>
        <v/>
      </c>
      <c r="GH775" s="1854" t="str">
        <f t="shared" si="171"/>
        <v/>
      </c>
      <c r="GI775" s="1854" t="str">
        <f t="shared" si="172"/>
        <v/>
      </c>
      <c r="GJ775" s="1854" t="str">
        <f t="shared" si="173"/>
        <v/>
      </c>
      <c r="GK775" s="1854" t="str">
        <f t="shared" si="174"/>
        <v/>
      </c>
      <c r="GL775" s="1854" t="str">
        <f t="shared" si="175"/>
        <v/>
      </c>
      <c r="GM775" s="1854" t="str">
        <f t="shared" si="176"/>
        <v/>
      </c>
      <c r="GN775" s="1854" t="str">
        <f t="shared" si="177"/>
        <v/>
      </c>
      <c r="GO775" s="1854" t="str">
        <f t="shared" si="178"/>
        <v/>
      </c>
      <c r="GP775" s="1854" t="str">
        <f t="shared" si="179"/>
        <v/>
      </c>
      <c r="GQ775" s="1854" t="str">
        <f t="shared" si="180"/>
        <v/>
      </c>
      <c r="GR775" s="1854" t="str">
        <f t="shared" si="181"/>
        <v/>
      </c>
      <c r="GS775" s="1854" t="str">
        <f t="shared" si="182"/>
        <v/>
      </c>
      <c r="GT775" s="1854" t="str">
        <f t="shared" si="183"/>
        <v/>
      </c>
      <c r="GU775" s="1854" t="str">
        <f t="shared" si="184"/>
        <v/>
      </c>
      <c r="GV775" s="1854" t="str">
        <f t="shared" si="185"/>
        <v/>
      </c>
      <c r="GW775" s="1854" t="str">
        <f t="shared" si="186"/>
        <v/>
      </c>
      <c r="GX775" s="1854" t="str">
        <f t="shared" si="187"/>
        <v/>
      </c>
      <c r="GY775" s="1854" t="str">
        <f t="shared" si="188"/>
        <v/>
      </c>
      <c r="GZ775" s="1854" t="str">
        <f t="shared" si="189"/>
        <v/>
      </c>
      <c r="HA775" s="1854" t="str">
        <f t="shared" si="190"/>
        <v/>
      </c>
      <c r="HB775" s="1854" t="str">
        <f t="shared" si="191"/>
        <v/>
      </c>
      <c r="HC775" s="1854" t="str">
        <f t="shared" si="192"/>
        <v/>
      </c>
      <c r="HD775" s="1854" t="str">
        <f t="shared" si="193"/>
        <v/>
      </c>
      <c r="HE775" s="1854" t="str">
        <f t="shared" si="194"/>
        <v/>
      </c>
      <c r="HF775" s="1854" t="str">
        <f t="shared" si="195"/>
        <v/>
      </c>
      <c r="HG775" s="1854" t="str">
        <f t="shared" si="196"/>
        <v/>
      </c>
      <c r="HH775" s="1854" t="str">
        <f t="shared" si="197"/>
        <v/>
      </c>
      <c r="HI775" s="1854" t="str">
        <f t="shared" si="198"/>
        <v/>
      </c>
      <c r="HJ775" s="1854" t="str">
        <f t="shared" si="199"/>
        <v/>
      </c>
      <c r="HK775" s="1854" t="str">
        <f t="shared" si="200"/>
        <v/>
      </c>
      <c r="HL775" s="1854" t="str">
        <f t="shared" si="201"/>
        <v/>
      </c>
      <c r="HM775" s="1854" t="str">
        <f t="shared" si="202"/>
        <v/>
      </c>
      <c r="HN775" s="1854" t="str">
        <f t="shared" si="203"/>
        <v/>
      </c>
      <c r="HO775" s="1854" t="str">
        <f t="shared" si="204"/>
        <v/>
      </c>
      <c r="HP775" s="1854" t="str">
        <f t="shared" si="205"/>
        <v/>
      </c>
      <c r="HQ775" s="1854" t="str">
        <f t="shared" si="206"/>
        <v/>
      </c>
      <c r="HR775" s="1854" t="str">
        <f t="shared" si="207"/>
        <v/>
      </c>
      <c r="HS775" s="1854" t="str">
        <f t="shared" si="208"/>
        <v/>
      </c>
      <c r="HT775" s="1854" t="str">
        <f t="shared" si="209"/>
        <v/>
      </c>
      <c r="HU775" s="1854" t="str">
        <f t="shared" si="210"/>
        <v/>
      </c>
      <c r="HV775" s="1854" t="str">
        <f t="shared" si="211"/>
        <v/>
      </c>
      <c r="HW775" s="1854" t="str">
        <f t="shared" si="212"/>
        <v/>
      </c>
      <c r="HX775" s="1854" t="str">
        <f t="shared" si="213"/>
        <v/>
      </c>
      <c r="HY775" s="1854" t="str">
        <f t="shared" si="214"/>
        <v/>
      </c>
      <c r="HZ775" s="1854" t="str">
        <f t="shared" si="215"/>
        <v/>
      </c>
      <c r="IA775" s="1854" t="str">
        <f t="shared" si="216"/>
        <v/>
      </c>
      <c r="IB775" s="1854" t="str">
        <f t="shared" si="217"/>
        <v/>
      </c>
      <c r="IC775" s="1854" t="str">
        <f t="shared" si="218"/>
        <v/>
      </c>
      <c r="ID775" s="1826" t="str">
        <f t="shared" si="219"/>
        <v/>
      </c>
      <c r="IE775" s="1826" t="str">
        <f t="shared" si="220"/>
        <v/>
      </c>
      <c r="IF775" s="1826" t="str">
        <f t="shared" si="221"/>
        <v/>
      </c>
      <c r="IG775" s="1826" t="str">
        <f t="shared" si="222"/>
        <v/>
      </c>
      <c r="IH775" s="1826" t="str">
        <f t="shared" si="223"/>
        <v/>
      </c>
      <c r="II775" s="683" t="str">
        <f t="shared" si="224"/>
        <v/>
      </c>
      <c r="IJ775" s="683" t="str">
        <f t="shared" si="225"/>
        <v/>
      </c>
      <c r="IK775" s="683" t="str">
        <f t="shared" si="226"/>
        <v/>
      </c>
      <c r="IL775" s="683" t="str">
        <f t="shared" si="227"/>
        <v/>
      </c>
      <c r="IM775" s="683" t="str">
        <f t="shared" si="228"/>
        <v/>
      </c>
      <c r="IN775" s="683" t="str">
        <f t="shared" si="229"/>
        <v/>
      </c>
      <c r="IO775" s="683" t="str">
        <f t="shared" si="230"/>
        <v/>
      </c>
      <c r="IP775" s="683" t="str">
        <f t="shared" si="231"/>
        <v/>
      </c>
      <c r="IQ775" s="683" t="str">
        <f t="shared" si="232"/>
        <v/>
      </c>
      <c r="IR775" s="683" t="str">
        <f t="shared" si="233"/>
        <v/>
      </c>
      <c r="IS775" s="683" t="str">
        <f t="shared" si="234"/>
        <v/>
      </c>
      <c r="IT775" s="683" t="str">
        <f t="shared" si="235"/>
        <v/>
      </c>
      <c r="IU775" s="683" t="str">
        <f t="shared" si="236"/>
        <v/>
      </c>
      <c r="IV775" s="683" t="str">
        <f t="shared" si="237"/>
        <v/>
      </c>
      <c r="IW775" s="683" t="str">
        <f t="shared" si="238"/>
        <v/>
      </c>
      <c r="IX775" s="683" t="str">
        <f t="shared" si="239"/>
        <v/>
      </c>
      <c r="IY775" s="683" t="str">
        <f t="shared" si="240"/>
        <v/>
      </c>
      <c r="IZ775" s="683" t="str">
        <f t="shared" si="241"/>
        <v/>
      </c>
      <c r="JA775" s="683" t="str">
        <f t="shared" si="242"/>
        <v/>
      </c>
      <c r="JB775" s="683" t="str">
        <f t="shared" si="243"/>
        <v/>
      </c>
      <c r="JC775" s="1824">
        <f t="shared" si="244"/>
        <v>0</v>
      </c>
      <c r="JD775" s="1824">
        <f t="shared" si="245"/>
        <v>0</v>
      </c>
      <c r="JE775" s="1824">
        <f t="shared" si="246"/>
        <v>0</v>
      </c>
      <c r="JF775" s="1824">
        <f t="shared" si="247"/>
        <v>0</v>
      </c>
      <c r="JG775" s="1824">
        <f t="shared" si="248"/>
        <v>0</v>
      </c>
      <c r="JH775" s="1824">
        <f t="shared" si="249"/>
        <v>0</v>
      </c>
      <c r="JI775" s="1824">
        <f t="shared" si="250"/>
        <v>0</v>
      </c>
      <c r="JJ775" s="1824">
        <f t="shared" si="251"/>
        <v>0</v>
      </c>
      <c r="JK775" s="1824">
        <f t="shared" si="252"/>
        <v>0</v>
      </c>
      <c r="JL775" s="1824">
        <f t="shared" si="253"/>
        <v>0</v>
      </c>
      <c r="JM775" s="1824">
        <f t="shared" si="254"/>
        <v>0</v>
      </c>
      <c r="JN775" s="1824">
        <f t="shared" si="255"/>
        <v>0</v>
      </c>
      <c r="JO775" s="1824">
        <f t="shared" si="256"/>
        <v>0</v>
      </c>
      <c r="JP775" s="1824">
        <f t="shared" si="257"/>
        <v>11</v>
      </c>
      <c r="JQ775" s="1824">
        <f t="shared" si="258"/>
        <v>0</v>
      </c>
    </row>
    <row r="776" spans="1:277" ht="12" customHeight="1">
      <c r="A776" s="1837" t="str">
        <f t="shared" si="1"/>
        <v/>
      </c>
      <c r="B776" s="1846" t="str">
        <f>'Part VI-Revenues &amp; Expenses'!B19</f>
        <v>50% AMI</v>
      </c>
      <c r="C776" s="1847">
        <f>'Part VI-Revenues &amp; Expenses'!C19</f>
        <v>3</v>
      </c>
      <c r="D776" s="1848">
        <f>'Part VI-Revenues &amp; Expenses'!D19</f>
        <v>3</v>
      </c>
      <c r="E776" s="1849">
        <f>'Part VI-Revenues &amp; Expenses'!E19</f>
        <v>7</v>
      </c>
      <c r="F776" s="1849">
        <f>'Part VI-Revenues &amp; Expenses'!F19</f>
        <v>1604</v>
      </c>
      <c r="G776" s="1849">
        <f>'Part VI-Revenues &amp; Expenses'!G19</f>
        <v>645</v>
      </c>
      <c r="H776" s="1849">
        <f>'Part VI-Revenues &amp; Expenses'!H19</f>
        <v>992</v>
      </c>
      <c r="I776" s="1849">
        <f>'Part VI-Revenues &amp; Expenses'!I19</f>
        <v>192</v>
      </c>
      <c r="J776" s="1850" t="str">
        <f>'Part VI-Revenues &amp; Expenses'!J19</f>
        <v>PHA PBRA</v>
      </c>
      <c r="K776" s="1851">
        <f t="shared" si="2"/>
        <v>800</v>
      </c>
      <c r="L776" s="1851">
        <f t="shared" si="3"/>
        <v>5600</v>
      </c>
      <c r="M776" s="1725" t="str">
        <f>'Part VI-Revenues &amp; Expenses'!M19</f>
        <v>No</v>
      </c>
      <c r="N776" s="1725" t="str">
        <f>'Part VI-Revenues &amp; Expenses'!N19</f>
        <v>Duplex</v>
      </c>
      <c r="O776" s="1725" t="str">
        <f>'Part VI-Revenues &amp; Expenses'!O19</f>
        <v>New Construction</v>
      </c>
      <c r="P776" s="1831" t="str">
        <f>'Part VI-Revenues &amp; Expenses'!P19</f>
        <v>No</v>
      </c>
      <c r="Q776" s="1852">
        <f>'Part VI-Revenues &amp; Expenses'!Q19</f>
        <v>39680</v>
      </c>
      <c r="R776" s="1853">
        <f>'Part VI-Revenues &amp; Expenses'!R19</f>
        <v>0.76923076923076927</v>
      </c>
      <c r="S776" s="1852">
        <f>'Part VI-Revenues &amp; Expenses'!S19</f>
        <v>0</v>
      </c>
      <c r="T776" s="1853">
        <f>'Part VI-Revenues &amp; Expenses'!T19</f>
        <v>0</v>
      </c>
      <c r="U776" s="1775"/>
      <c r="V776" s="1775"/>
      <c r="W776" s="683" t="str">
        <f t="shared" si="4"/>
        <v/>
      </c>
      <c r="X776" s="683" t="str">
        <f t="shared" si="5"/>
        <v/>
      </c>
      <c r="Y776" s="683" t="str">
        <f t="shared" si="6"/>
        <v/>
      </c>
      <c r="Z776" s="683" t="str">
        <f t="shared" si="7"/>
        <v/>
      </c>
      <c r="AA776" s="683" t="str">
        <f t="shared" si="8"/>
        <v/>
      </c>
      <c r="AB776" s="683" t="str">
        <f t="shared" si="9"/>
        <v/>
      </c>
      <c r="AC776" s="683" t="str">
        <f t="shared" si="10"/>
        <v/>
      </c>
      <c r="AD776" s="683" t="str">
        <f t="shared" si="11"/>
        <v/>
      </c>
      <c r="AE776" s="683">
        <f t="shared" si="12"/>
        <v>7</v>
      </c>
      <c r="AF776" s="683" t="str">
        <f t="shared" si="13"/>
        <v/>
      </c>
      <c r="AG776" s="683" t="str">
        <f t="shared" si="14"/>
        <v/>
      </c>
      <c r="AH776" s="683" t="str">
        <f t="shared" si="15"/>
        <v/>
      </c>
      <c r="AI776" s="683" t="str">
        <f t="shared" si="16"/>
        <v/>
      </c>
      <c r="AJ776" s="683" t="str">
        <f t="shared" si="17"/>
        <v/>
      </c>
      <c r="AK776" s="683" t="str">
        <f t="shared" si="18"/>
        <v/>
      </c>
      <c r="AL776" s="683" t="str">
        <f t="shared" si="19"/>
        <v/>
      </c>
      <c r="AM776" s="683" t="str">
        <f t="shared" si="20"/>
        <v/>
      </c>
      <c r="AN776" s="683" t="str">
        <f t="shared" si="21"/>
        <v/>
      </c>
      <c r="AO776" s="683" t="str">
        <f t="shared" si="22"/>
        <v/>
      </c>
      <c r="AP776" s="683" t="str">
        <f t="shared" si="23"/>
        <v/>
      </c>
      <c r="AQ776" s="683" t="str">
        <f t="shared" si="24"/>
        <v/>
      </c>
      <c r="AR776" s="683" t="str">
        <f t="shared" si="25"/>
        <v/>
      </c>
      <c r="AS776" s="683" t="str">
        <f t="shared" si="26"/>
        <v/>
      </c>
      <c r="AT776" s="683" t="str">
        <f t="shared" si="27"/>
        <v/>
      </c>
      <c r="AU776" s="683" t="str">
        <f t="shared" si="28"/>
        <v/>
      </c>
      <c r="AV776" s="683" t="str">
        <f t="shared" si="29"/>
        <v/>
      </c>
      <c r="AW776" s="683" t="str">
        <f t="shared" si="30"/>
        <v/>
      </c>
      <c r="AX776" s="683" t="str">
        <f t="shared" si="31"/>
        <v/>
      </c>
      <c r="AY776" s="683">
        <f t="shared" si="32"/>
        <v>7</v>
      </c>
      <c r="AZ776" s="683" t="str">
        <f t="shared" si="33"/>
        <v/>
      </c>
      <c r="BA776" s="683" t="str">
        <f t="shared" si="34"/>
        <v/>
      </c>
      <c r="BB776" s="683" t="str">
        <f t="shared" si="35"/>
        <v/>
      </c>
      <c r="BC776" s="683" t="str">
        <f t="shared" si="36"/>
        <v/>
      </c>
      <c r="BD776" s="683" t="str">
        <f t="shared" si="37"/>
        <v/>
      </c>
      <c r="BE776" s="683" t="str">
        <f t="shared" si="38"/>
        <v/>
      </c>
      <c r="BF776" s="683" t="str">
        <f t="shared" si="39"/>
        <v/>
      </c>
      <c r="BG776" s="683" t="str">
        <f t="shared" si="40"/>
        <v/>
      </c>
      <c r="BH776" s="683" t="str">
        <f t="shared" si="41"/>
        <v/>
      </c>
      <c r="BI776" s="683" t="str">
        <f t="shared" si="42"/>
        <v/>
      </c>
      <c r="BJ776" s="683" t="str">
        <f t="shared" si="43"/>
        <v/>
      </c>
      <c r="BK776" s="683" t="str">
        <f t="shared" si="44"/>
        <v/>
      </c>
      <c r="BL776" s="683" t="str">
        <f t="shared" si="45"/>
        <v/>
      </c>
      <c r="BM776" s="683" t="str">
        <f t="shared" si="46"/>
        <v/>
      </c>
      <c r="BN776" s="683" t="str">
        <f t="shared" si="47"/>
        <v/>
      </c>
      <c r="BO776" s="683" t="str">
        <f t="shared" si="48"/>
        <v/>
      </c>
      <c r="BP776" s="683" t="str">
        <f t="shared" si="49"/>
        <v/>
      </c>
      <c r="BQ776" s="683" t="str">
        <f t="shared" si="50"/>
        <v/>
      </c>
      <c r="BR776" s="683" t="str">
        <f t="shared" si="51"/>
        <v/>
      </c>
      <c r="BS776" s="683" t="str">
        <f t="shared" si="52"/>
        <v/>
      </c>
      <c r="BT776" s="683" t="str">
        <f t="shared" si="53"/>
        <v/>
      </c>
      <c r="BU776" s="683" t="str">
        <f t="shared" si="54"/>
        <v/>
      </c>
      <c r="BV776" s="683" t="str">
        <f t="shared" si="55"/>
        <v/>
      </c>
      <c r="BW776" s="683" t="str">
        <f t="shared" si="56"/>
        <v/>
      </c>
      <c r="BX776" s="683" t="str">
        <f t="shared" si="57"/>
        <v/>
      </c>
      <c r="BY776" s="683" t="str">
        <f t="shared" si="58"/>
        <v/>
      </c>
      <c r="BZ776" s="683" t="str">
        <f t="shared" si="59"/>
        <v/>
      </c>
      <c r="CA776" s="683" t="str">
        <f t="shared" si="60"/>
        <v/>
      </c>
      <c r="CB776" s="683" t="str">
        <f t="shared" si="61"/>
        <v/>
      </c>
      <c r="CC776" s="683" t="str">
        <f t="shared" si="62"/>
        <v/>
      </c>
      <c r="CD776" s="683" t="str">
        <f t="shared" si="63"/>
        <v/>
      </c>
      <c r="CE776" s="683" t="str">
        <f t="shared" si="64"/>
        <v/>
      </c>
      <c r="CF776" s="683" t="str">
        <f t="shared" si="65"/>
        <v/>
      </c>
      <c r="CG776" s="683" t="str">
        <f t="shared" si="66"/>
        <v/>
      </c>
      <c r="CH776" s="683">
        <f t="shared" si="67"/>
        <v>11228</v>
      </c>
      <c r="CI776" s="683" t="str">
        <f t="shared" si="68"/>
        <v/>
      </c>
      <c r="CJ776" s="683" t="str">
        <f t="shared" si="69"/>
        <v/>
      </c>
      <c r="CK776" s="683" t="str">
        <f t="shared" si="70"/>
        <v/>
      </c>
      <c r="CL776" s="683" t="str">
        <f t="shared" si="71"/>
        <v/>
      </c>
      <c r="CM776" s="683" t="str">
        <f t="shared" si="72"/>
        <v/>
      </c>
      <c r="CN776" s="683" t="str">
        <f t="shared" si="73"/>
        <v/>
      </c>
      <c r="CO776" s="683" t="str">
        <f t="shared" si="74"/>
        <v/>
      </c>
      <c r="CP776" s="683" t="str">
        <f t="shared" si="75"/>
        <v/>
      </c>
      <c r="CQ776" s="683" t="str">
        <f t="shared" si="76"/>
        <v/>
      </c>
      <c r="CR776" s="683" t="str">
        <f t="shared" si="77"/>
        <v/>
      </c>
      <c r="CS776" s="683" t="str">
        <f t="shared" si="78"/>
        <v/>
      </c>
      <c r="CT776" s="683" t="str">
        <f t="shared" si="79"/>
        <v/>
      </c>
      <c r="CU776" s="683" t="str">
        <f t="shared" si="80"/>
        <v/>
      </c>
      <c r="CV776" s="683" t="str">
        <f t="shared" si="81"/>
        <v/>
      </c>
      <c r="CW776" s="683">
        <f t="shared" si="82"/>
        <v>11228</v>
      </c>
      <c r="CX776" s="683" t="str">
        <f t="shared" si="83"/>
        <v/>
      </c>
      <c r="CY776" s="683" t="str">
        <f t="shared" si="84"/>
        <v/>
      </c>
      <c r="CZ776" s="683" t="str">
        <f t="shared" si="85"/>
        <v/>
      </c>
      <c r="DA776" s="683" t="str">
        <f t="shared" si="86"/>
        <v/>
      </c>
      <c r="DB776" s="683" t="str">
        <f t="shared" si="87"/>
        <v/>
      </c>
      <c r="DC776" s="683" t="str">
        <f t="shared" si="88"/>
        <v/>
      </c>
      <c r="DD776" s="683" t="str">
        <f t="shared" si="89"/>
        <v/>
      </c>
      <c r="DE776" s="683" t="str">
        <f t="shared" si="90"/>
        <v/>
      </c>
      <c r="DF776" s="683" t="str">
        <f t="shared" si="91"/>
        <v/>
      </c>
      <c r="DG776" s="683">
        <f t="shared" si="92"/>
        <v>7</v>
      </c>
      <c r="DH776" s="683" t="str">
        <f t="shared" si="93"/>
        <v/>
      </c>
      <c r="DI776" s="683" t="str">
        <f t="shared" si="94"/>
        <v/>
      </c>
      <c r="DJ776" s="683" t="str">
        <f t="shared" si="95"/>
        <v/>
      </c>
      <c r="DK776" s="683" t="str">
        <f t="shared" si="96"/>
        <v/>
      </c>
      <c r="DL776" s="683" t="str">
        <f t="shared" si="97"/>
        <v/>
      </c>
      <c r="DM776" s="683" t="str">
        <f t="shared" si="98"/>
        <v/>
      </c>
      <c r="DN776" s="683" t="str">
        <f t="shared" si="99"/>
        <v/>
      </c>
      <c r="DO776" s="683" t="str">
        <f t="shared" si="100"/>
        <v/>
      </c>
      <c r="DP776" s="683" t="str">
        <f t="shared" si="101"/>
        <v/>
      </c>
      <c r="DQ776" s="683" t="str">
        <f t="shared" si="102"/>
        <v/>
      </c>
      <c r="DR776" s="683" t="str">
        <f t="shared" si="103"/>
        <v/>
      </c>
      <c r="DS776" s="683" t="str">
        <f t="shared" si="104"/>
        <v/>
      </c>
      <c r="DT776" s="683" t="str">
        <f t="shared" si="105"/>
        <v/>
      </c>
      <c r="DU776" s="683" t="str">
        <f t="shared" si="106"/>
        <v/>
      </c>
      <c r="DV776" s="683" t="str">
        <f t="shared" si="107"/>
        <v/>
      </c>
      <c r="DW776" s="683" t="str">
        <f t="shared" si="108"/>
        <v/>
      </c>
      <c r="DX776" s="683" t="str">
        <f t="shared" si="109"/>
        <v/>
      </c>
      <c r="DY776" s="683" t="str">
        <f t="shared" si="110"/>
        <v/>
      </c>
      <c r="DZ776" s="683" t="str">
        <f t="shared" si="111"/>
        <v/>
      </c>
      <c r="EA776" s="683" t="str">
        <f t="shared" si="112"/>
        <v/>
      </c>
      <c r="EB776" s="683" t="str">
        <f t="shared" si="113"/>
        <v/>
      </c>
      <c r="EC776" s="683" t="str">
        <f t="shared" si="114"/>
        <v/>
      </c>
      <c r="ED776" s="683" t="str">
        <f t="shared" si="115"/>
        <v/>
      </c>
      <c r="EE776" s="683" t="str">
        <f t="shared" si="116"/>
        <v/>
      </c>
      <c r="EF776" s="683" t="str">
        <f t="shared" si="117"/>
        <v/>
      </c>
      <c r="EG776" s="683" t="str">
        <f t="shared" si="118"/>
        <v/>
      </c>
      <c r="EH776" s="683" t="str">
        <f t="shared" si="119"/>
        <v/>
      </c>
      <c r="EI776" s="683" t="str">
        <f t="shared" si="120"/>
        <v/>
      </c>
      <c r="EJ776" s="683" t="str">
        <f t="shared" si="121"/>
        <v/>
      </c>
      <c r="EK776" s="683" t="str">
        <f t="shared" si="122"/>
        <v/>
      </c>
      <c r="EL776" s="683" t="str">
        <f t="shared" si="123"/>
        <v/>
      </c>
      <c r="EM776" s="683" t="str">
        <f t="shared" si="124"/>
        <v/>
      </c>
      <c r="EN776" s="683" t="str">
        <f t="shared" si="125"/>
        <v/>
      </c>
      <c r="EO776" s="683" t="str">
        <f t="shared" si="126"/>
        <v/>
      </c>
      <c r="EP776" s="683" t="str">
        <f t="shared" si="127"/>
        <v/>
      </c>
      <c r="EQ776" s="683" t="str">
        <f t="shared" si="128"/>
        <v/>
      </c>
      <c r="ER776" s="683" t="str">
        <f t="shared" si="129"/>
        <v/>
      </c>
      <c r="ES776" s="683" t="str">
        <f t="shared" si="130"/>
        <v/>
      </c>
      <c r="ET776" s="683" t="str">
        <f t="shared" si="131"/>
        <v/>
      </c>
      <c r="EU776" s="683" t="str">
        <f t="shared" si="132"/>
        <v/>
      </c>
      <c r="EV776" s="683" t="str">
        <f t="shared" si="133"/>
        <v/>
      </c>
      <c r="EW776" s="1854" t="str">
        <f t="shared" si="134"/>
        <v/>
      </c>
      <c r="EX776" s="1854" t="str">
        <f t="shared" si="135"/>
        <v/>
      </c>
      <c r="EY776" s="1854" t="str">
        <f t="shared" si="136"/>
        <v/>
      </c>
      <c r="EZ776" s="1854" t="str">
        <f t="shared" si="137"/>
        <v/>
      </c>
      <c r="FA776" s="1854" t="str">
        <f t="shared" si="138"/>
        <v/>
      </c>
      <c r="FB776" s="1854" t="str">
        <f t="shared" si="139"/>
        <v/>
      </c>
      <c r="FC776" s="1854" t="str">
        <f t="shared" si="140"/>
        <v/>
      </c>
      <c r="FD776" s="1854" t="str">
        <f t="shared" si="141"/>
        <v/>
      </c>
      <c r="FE776" s="1854" t="str">
        <f t="shared" si="142"/>
        <v/>
      </c>
      <c r="FF776" s="1854" t="str">
        <f t="shared" si="143"/>
        <v/>
      </c>
      <c r="FG776" s="1854" t="str">
        <f t="shared" si="144"/>
        <v/>
      </c>
      <c r="FH776" s="1854" t="str">
        <f t="shared" si="145"/>
        <v/>
      </c>
      <c r="FI776" s="1854" t="str">
        <f t="shared" si="146"/>
        <v/>
      </c>
      <c r="FJ776" s="1854" t="str">
        <f t="shared" si="147"/>
        <v/>
      </c>
      <c r="FK776" s="1854" t="str">
        <f t="shared" si="148"/>
        <v/>
      </c>
      <c r="FL776" s="1854" t="str">
        <f t="shared" si="149"/>
        <v/>
      </c>
      <c r="FM776" s="1854" t="str">
        <f t="shared" si="150"/>
        <v/>
      </c>
      <c r="FN776" s="1854" t="str">
        <f t="shared" si="151"/>
        <v/>
      </c>
      <c r="FO776" s="1854" t="str">
        <f t="shared" si="152"/>
        <v/>
      </c>
      <c r="FP776" s="1854" t="str">
        <f t="shared" si="153"/>
        <v/>
      </c>
      <c r="FQ776" s="1854" t="str">
        <f t="shared" si="154"/>
        <v/>
      </c>
      <c r="FR776" s="1854" t="str">
        <f t="shared" si="155"/>
        <v/>
      </c>
      <c r="FS776" s="1854" t="str">
        <f t="shared" si="156"/>
        <v/>
      </c>
      <c r="FT776" s="1854" t="str">
        <f t="shared" si="157"/>
        <v/>
      </c>
      <c r="FU776" s="1854" t="str">
        <f t="shared" si="158"/>
        <v/>
      </c>
      <c r="FV776" s="1854" t="str">
        <f t="shared" si="159"/>
        <v/>
      </c>
      <c r="FW776" s="1854" t="str">
        <f t="shared" si="160"/>
        <v/>
      </c>
      <c r="FX776" s="1854" t="str">
        <f t="shared" si="161"/>
        <v/>
      </c>
      <c r="FY776" s="1854">
        <f t="shared" si="162"/>
        <v>7</v>
      </c>
      <c r="FZ776" s="1854" t="str">
        <f t="shared" si="163"/>
        <v/>
      </c>
      <c r="GA776" s="1854" t="str">
        <f t="shared" si="164"/>
        <v/>
      </c>
      <c r="GB776" s="1854" t="str">
        <f t="shared" si="165"/>
        <v/>
      </c>
      <c r="GC776" s="1854" t="str">
        <f t="shared" si="166"/>
        <v/>
      </c>
      <c r="GD776" s="1854" t="str">
        <f t="shared" si="167"/>
        <v/>
      </c>
      <c r="GE776" s="1854" t="str">
        <f t="shared" si="168"/>
        <v/>
      </c>
      <c r="GF776" s="1854" t="str">
        <f t="shared" si="169"/>
        <v/>
      </c>
      <c r="GG776" s="1854" t="str">
        <f t="shared" si="170"/>
        <v/>
      </c>
      <c r="GH776" s="1854" t="str">
        <f t="shared" si="171"/>
        <v/>
      </c>
      <c r="GI776" s="1854" t="str">
        <f t="shared" si="172"/>
        <v/>
      </c>
      <c r="GJ776" s="1854" t="str">
        <f t="shared" si="173"/>
        <v/>
      </c>
      <c r="GK776" s="1854" t="str">
        <f t="shared" si="174"/>
        <v/>
      </c>
      <c r="GL776" s="1854" t="str">
        <f t="shared" si="175"/>
        <v/>
      </c>
      <c r="GM776" s="1854" t="str">
        <f t="shared" si="176"/>
        <v/>
      </c>
      <c r="GN776" s="1854" t="str">
        <f t="shared" si="177"/>
        <v/>
      </c>
      <c r="GO776" s="1854" t="str">
        <f t="shared" si="178"/>
        <v/>
      </c>
      <c r="GP776" s="1854" t="str">
        <f t="shared" si="179"/>
        <v/>
      </c>
      <c r="GQ776" s="1854" t="str">
        <f t="shared" si="180"/>
        <v/>
      </c>
      <c r="GR776" s="1854" t="str">
        <f t="shared" si="181"/>
        <v/>
      </c>
      <c r="GS776" s="1854" t="str">
        <f t="shared" si="182"/>
        <v/>
      </c>
      <c r="GT776" s="1854" t="str">
        <f t="shared" si="183"/>
        <v/>
      </c>
      <c r="GU776" s="1854" t="str">
        <f t="shared" si="184"/>
        <v/>
      </c>
      <c r="GV776" s="1854" t="str">
        <f t="shared" si="185"/>
        <v/>
      </c>
      <c r="GW776" s="1854" t="str">
        <f t="shared" si="186"/>
        <v/>
      </c>
      <c r="GX776" s="1854" t="str">
        <f t="shared" si="187"/>
        <v/>
      </c>
      <c r="GY776" s="1854" t="str">
        <f t="shared" si="188"/>
        <v/>
      </c>
      <c r="GZ776" s="1854" t="str">
        <f t="shared" si="189"/>
        <v/>
      </c>
      <c r="HA776" s="1854" t="str">
        <f t="shared" si="190"/>
        <v/>
      </c>
      <c r="HB776" s="1854" t="str">
        <f t="shared" si="191"/>
        <v/>
      </c>
      <c r="HC776" s="1854" t="str">
        <f t="shared" si="192"/>
        <v/>
      </c>
      <c r="HD776" s="1854" t="str">
        <f t="shared" si="193"/>
        <v/>
      </c>
      <c r="HE776" s="1854" t="str">
        <f t="shared" si="194"/>
        <v/>
      </c>
      <c r="HF776" s="1854" t="str">
        <f t="shared" si="195"/>
        <v/>
      </c>
      <c r="HG776" s="1854" t="str">
        <f t="shared" si="196"/>
        <v/>
      </c>
      <c r="HH776" s="1854" t="str">
        <f t="shared" si="197"/>
        <v/>
      </c>
      <c r="HI776" s="1854" t="str">
        <f t="shared" si="198"/>
        <v/>
      </c>
      <c r="HJ776" s="1854" t="str">
        <f t="shared" si="199"/>
        <v/>
      </c>
      <c r="HK776" s="1854" t="str">
        <f t="shared" si="200"/>
        <v/>
      </c>
      <c r="HL776" s="1854" t="str">
        <f t="shared" si="201"/>
        <v/>
      </c>
      <c r="HM776" s="1854" t="str">
        <f t="shared" si="202"/>
        <v/>
      </c>
      <c r="HN776" s="1854" t="str">
        <f t="shared" si="203"/>
        <v/>
      </c>
      <c r="HO776" s="1854" t="str">
        <f t="shared" si="204"/>
        <v/>
      </c>
      <c r="HP776" s="1854" t="str">
        <f t="shared" si="205"/>
        <v/>
      </c>
      <c r="HQ776" s="1854" t="str">
        <f t="shared" si="206"/>
        <v/>
      </c>
      <c r="HR776" s="1854" t="str">
        <f t="shared" si="207"/>
        <v/>
      </c>
      <c r="HS776" s="1854" t="str">
        <f t="shared" si="208"/>
        <v/>
      </c>
      <c r="HT776" s="1854" t="str">
        <f t="shared" si="209"/>
        <v/>
      </c>
      <c r="HU776" s="1854" t="str">
        <f t="shared" si="210"/>
        <v/>
      </c>
      <c r="HV776" s="1854" t="str">
        <f t="shared" si="211"/>
        <v/>
      </c>
      <c r="HW776" s="1854" t="str">
        <f t="shared" si="212"/>
        <v/>
      </c>
      <c r="HX776" s="1854" t="str">
        <f t="shared" si="213"/>
        <v/>
      </c>
      <c r="HY776" s="1854" t="str">
        <f t="shared" si="214"/>
        <v/>
      </c>
      <c r="HZ776" s="1854" t="str">
        <f t="shared" si="215"/>
        <v/>
      </c>
      <c r="IA776" s="1854" t="str">
        <f t="shared" si="216"/>
        <v/>
      </c>
      <c r="IB776" s="1854" t="str">
        <f t="shared" si="217"/>
        <v/>
      </c>
      <c r="IC776" s="1854" t="str">
        <f t="shared" si="218"/>
        <v/>
      </c>
      <c r="ID776" s="1826" t="str">
        <f t="shared" si="219"/>
        <v/>
      </c>
      <c r="IE776" s="1826" t="str">
        <f t="shared" si="220"/>
        <v/>
      </c>
      <c r="IF776" s="1826" t="str">
        <f t="shared" si="221"/>
        <v/>
      </c>
      <c r="IG776" s="1826" t="str">
        <f t="shared" si="222"/>
        <v/>
      </c>
      <c r="IH776" s="1826" t="str">
        <f t="shared" si="223"/>
        <v/>
      </c>
      <c r="II776" s="683" t="str">
        <f t="shared" si="224"/>
        <v/>
      </c>
      <c r="IJ776" s="683" t="str">
        <f t="shared" si="225"/>
        <v/>
      </c>
      <c r="IK776" s="683" t="str">
        <f t="shared" si="226"/>
        <v/>
      </c>
      <c r="IL776" s="683" t="str">
        <f t="shared" si="227"/>
        <v/>
      </c>
      <c r="IM776" s="683" t="str">
        <f t="shared" si="228"/>
        <v/>
      </c>
      <c r="IN776" s="683" t="str">
        <f t="shared" si="229"/>
        <v/>
      </c>
      <c r="IO776" s="683" t="str">
        <f t="shared" si="230"/>
        <v/>
      </c>
      <c r="IP776" s="683" t="str">
        <f t="shared" si="231"/>
        <v/>
      </c>
      <c r="IQ776" s="683" t="str">
        <f t="shared" si="232"/>
        <v/>
      </c>
      <c r="IR776" s="683" t="str">
        <f t="shared" si="233"/>
        <v/>
      </c>
      <c r="IS776" s="683" t="str">
        <f t="shared" si="234"/>
        <v/>
      </c>
      <c r="IT776" s="683" t="str">
        <f t="shared" si="235"/>
        <v/>
      </c>
      <c r="IU776" s="683" t="str">
        <f t="shared" si="236"/>
        <v/>
      </c>
      <c r="IV776" s="683" t="str">
        <f t="shared" si="237"/>
        <v/>
      </c>
      <c r="IW776" s="683" t="str">
        <f t="shared" si="238"/>
        <v/>
      </c>
      <c r="IX776" s="683" t="str">
        <f t="shared" si="239"/>
        <v/>
      </c>
      <c r="IY776" s="683" t="str">
        <f t="shared" si="240"/>
        <v/>
      </c>
      <c r="IZ776" s="683" t="str">
        <f t="shared" si="241"/>
        <v/>
      </c>
      <c r="JA776" s="683" t="str">
        <f t="shared" si="242"/>
        <v/>
      </c>
      <c r="JB776" s="683" t="str">
        <f t="shared" si="243"/>
        <v/>
      </c>
      <c r="JC776" s="1824">
        <f t="shared" si="244"/>
        <v>0</v>
      </c>
      <c r="JD776" s="1824">
        <f t="shared" si="245"/>
        <v>0</v>
      </c>
      <c r="JE776" s="1824">
        <f t="shared" si="246"/>
        <v>0</v>
      </c>
      <c r="JF776" s="1824">
        <f t="shared" si="247"/>
        <v>0</v>
      </c>
      <c r="JG776" s="1824">
        <f t="shared" si="248"/>
        <v>0</v>
      </c>
      <c r="JH776" s="1824">
        <f t="shared" si="249"/>
        <v>0</v>
      </c>
      <c r="JI776" s="1824">
        <f t="shared" si="250"/>
        <v>0</v>
      </c>
      <c r="JJ776" s="1824">
        <f t="shared" si="251"/>
        <v>0</v>
      </c>
      <c r="JK776" s="1824">
        <f t="shared" si="252"/>
        <v>0</v>
      </c>
      <c r="JL776" s="1824">
        <f t="shared" si="253"/>
        <v>0</v>
      </c>
      <c r="JM776" s="1824">
        <f t="shared" si="254"/>
        <v>0</v>
      </c>
      <c r="JN776" s="1824">
        <f t="shared" si="255"/>
        <v>0</v>
      </c>
      <c r="JO776" s="1824">
        <f t="shared" si="256"/>
        <v>0</v>
      </c>
      <c r="JP776" s="1824">
        <f t="shared" si="257"/>
        <v>7</v>
      </c>
      <c r="JQ776" s="1824">
        <f t="shared" si="258"/>
        <v>0</v>
      </c>
    </row>
    <row r="777" spans="1:277" ht="12" customHeight="1">
      <c r="A777" s="1837" t="str">
        <f t="shared" si="1"/>
        <v/>
      </c>
      <c r="B777" s="1846" t="str">
        <f>'Part VI-Revenues &amp; Expenses'!B20</f>
        <v>&lt;&lt;Select&gt;&gt;</v>
      </c>
      <c r="C777" s="1847">
        <f>'Part VI-Revenues &amp; Expenses'!C20</f>
        <v>0</v>
      </c>
      <c r="D777" s="1848">
        <f>'Part VI-Revenues &amp; Expenses'!D20</f>
        <v>0</v>
      </c>
      <c r="E777" s="1849">
        <f>'Part VI-Revenues &amp; Expenses'!E20</f>
        <v>0</v>
      </c>
      <c r="F777" s="1849">
        <f>'Part VI-Revenues &amp; Expenses'!F20</f>
        <v>0</v>
      </c>
      <c r="G777" s="1849">
        <f>'Part VI-Revenues &amp; Expenses'!G20</f>
        <v>0</v>
      </c>
      <c r="H777" s="1849">
        <f>'Part VI-Revenues &amp; Expenses'!H20</f>
        <v>0</v>
      </c>
      <c r="I777" s="1849">
        <f>'Part VI-Revenues &amp; Expenses'!I20</f>
        <v>0</v>
      </c>
      <c r="J777" s="1850">
        <f>'Part VI-Revenues &amp; Expenses'!J20</f>
        <v>0</v>
      </c>
      <c r="K777" s="1851">
        <f t="shared" si="2"/>
        <v>0</v>
      </c>
      <c r="L777" s="1851">
        <f t="shared" si="3"/>
        <v>0</v>
      </c>
      <c r="M777" s="1725">
        <f>'Part VI-Revenues &amp; Expenses'!M20</f>
        <v>0</v>
      </c>
      <c r="N777" s="1725">
        <f>'Part VI-Revenues &amp; Expenses'!N20</f>
        <v>0</v>
      </c>
      <c r="O777" s="1725">
        <f>'Part VI-Revenues &amp; Expenses'!O20</f>
        <v>0</v>
      </c>
      <c r="P777" s="1831">
        <f>'Part VI-Revenues &amp; Expenses'!P20</f>
        <v>0</v>
      </c>
      <c r="Q777" s="1852" t="str">
        <f>'Part VI-Revenues &amp; Expenses'!Q20</f>
        <v/>
      </c>
      <c r="R777" s="1853" t="str">
        <f>'Part VI-Revenues &amp; Expenses'!R20</f>
        <v/>
      </c>
      <c r="S777" s="1852">
        <f>'Part VI-Revenues &amp; Expenses'!S20</f>
        <v>0</v>
      </c>
      <c r="T777" s="1853">
        <f>'Part VI-Revenues &amp; Expenses'!T20</f>
        <v>0</v>
      </c>
      <c r="U777" s="1775"/>
      <c r="V777" s="1775"/>
      <c r="W777" s="683" t="str">
        <f t="shared" si="4"/>
        <v/>
      </c>
      <c r="X777" s="683" t="str">
        <f t="shared" si="5"/>
        <v/>
      </c>
      <c r="Y777" s="683" t="str">
        <f t="shared" si="6"/>
        <v/>
      </c>
      <c r="Z777" s="683" t="str">
        <f t="shared" si="7"/>
        <v/>
      </c>
      <c r="AA777" s="683" t="str">
        <f t="shared" si="8"/>
        <v/>
      </c>
      <c r="AB777" s="683" t="str">
        <f t="shared" si="9"/>
        <v/>
      </c>
      <c r="AC777" s="683" t="str">
        <f t="shared" si="10"/>
        <v/>
      </c>
      <c r="AD777" s="683" t="str">
        <f t="shared" si="11"/>
        <v/>
      </c>
      <c r="AE777" s="683" t="str">
        <f t="shared" si="12"/>
        <v/>
      </c>
      <c r="AF777" s="683" t="str">
        <f t="shared" si="13"/>
        <v/>
      </c>
      <c r="AG777" s="683" t="str">
        <f t="shared" si="14"/>
        <v/>
      </c>
      <c r="AH777" s="683" t="str">
        <f t="shared" si="15"/>
        <v/>
      </c>
      <c r="AI777" s="683" t="str">
        <f t="shared" si="16"/>
        <v/>
      </c>
      <c r="AJ777" s="683" t="str">
        <f t="shared" si="17"/>
        <v/>
      </c>
      <c r="AK777" s="683" t="str">
        <f t="shared" si="18"/>
        <v/>
      </c>
      <c r="AL777" s="683" t="str">
        <f t="shared" si="19"/>
        <v/>
      </c>
      <c r="AM777" s="683" t="str">
        <f t="shared" si="20"/>
        <v/>
      </c>
      <c r="AN777" s="683" t="str">
        <f t="shared" si="21"/>
        <v/>
      </c>
      <c r="AO777" s="683" t="str">
        <f t="shared" si="22"/>
        <v/>
      </c>
      <c r="AP777" s="683" t="str">
        <f t="shared" si="23"/>
        <v/>
      </c>
      <c r="AQ777" s="683" t="str">
        <f t="shared" si="24"/>
        <v/>
      </c>
      <c r="AR777" s="683" t="str">
        <f t="shared" si="25"/>
        <v/>
      </c>
      <c r="AS777" s="683" t="str">
        <f t="shared" si="26"/>
        <v/>
      </c>
      <c r="AT777" s="683" t="str">
        <f t="shared" si="27"/>
        <v/>
      </c>
      <c r="AU777" s="683" t="str">
        <f t="shared" si="28"/>
        <v/>
      </c>
      <c r="AV777" s="683" t="str">
        <f t="shared" si="29"/>
        <v/>
      </c>
      <c r="AW777" s="683" t="str">
        <f t="shared" si="30"/>
        <v/>
      </c>
      <c r="AX777" s="683" t="str">
        <f t="shared" si="31"/>
        <v/>
      </c>
      <c r="AY777" s="683" t="str">
        <f t="shared" si="32"/>
        <v/>
      </c>
      <c r="AZ777" s="683" t="str">
        <f t="shared" si="33"/>
        <v/>
      </c>
      <c r="BA777" s="683" t="str">
        <f t="shared" si="34"/>
        <v/>
      </c>
      <c r="BB777" s="683" t="str">
        <f t="shared" si="35"/>
        <v/>
      </c>
      <c r="BC777" s="683" t="str">
        <f t="shared" si="36"/>
        <v/>
      </c>
      <c r="BD777" s="683" t="str">
        <f t="shared" si="37"/>
        <v/>
      </c>
      <c r="BE777" s="683" t="str">
        <f t="shared" si="38"/>
        <v/>
      </c>
      <c r="BF777" s="683" t="str">
        <f t="shared" si="39"/>
        <v/>
      </c>
      <c r="BG777" s="683" t="str">
        <f t="shared" si="40"/>
        <v/>
      </c>
      <c r="BH777" s="683" t="str">
        <f t="shared" si="41"/>
        <v/>
      </c>
      <c r="BI777" s="683" t="str">
        <f t="shared" si="42"/>
        <v/>
      </c>
      <c r="BJ777" s="683" t="str">
        <f t="shared" si="43"/>
        <v/>
      </c>
      <c r="BK777" s="683" t="str">
        <f t="shared" si="44"/>
        <v/>
      </c>
      <c r="BL777" s="683" t="str">
        <f t="shared" si="45"/>
        <v/>
      </c>
      <c r="BM777" s="683" t="str">
        <f t="shared" si="46"/>
        <v/>
      </c>
      <c r="BN777" s="683" t="str">
        <f t="shared" si="47"/>
        <v/>
      </c>
      <c r="BO777" s="683" t="str">
        <f t="shared" si="48"/>
        <v/>
      </c>
      <c r="BP777" s="683" t="str">
        <f t="shared" si="49"/>
        <v/>
      </c>
      <c r="BQ777" s="683" t="str">
        <f t="shared" si="50"/>
        <v/>
      </c>
      <c r="BR777" s="683" t="str">
        <f t="shared" si="51"/>
        <v/>
      </c>
      <c r="BS777" s="683" t="str">
        <f t="shared" si="52"/>
        <v/>
      </c>
      <c r="BT777" s="683" t="str">
        <f t="shared" si="53"/>
        <v/>
      </c>
      <c r="BU777" s="683" t="str">
        <f t="shared" si="54"/>
        <v/>
      </c>
      <c r="BV777" s="683" t="str">
        <f t="shared" si="55"/>
        <v/>
      </c>
      <c r="BW777" s="683" t="str">
        <f t="shared" si="56"/>
        <v/>
      </c>
      <c r="BX777" s="683" t="str">
        <f t="shared" si="57"/>
        <v/>
      </c>
      <c r="BY777" s="683" t="str">
        <f t="shared" si="58"/>
        <v/>
      </c>
      <c r="BZ777" s="683" t="str">
        <f t="shared" si="59"/>
        <v/>
      </c>
      <c r="CA777" s="683" t="str">
        <f t="shared" si="60"/>
        <v/>
      </c>
      <c r="CB777" s="683" t="str">
        <f t="shared" si="61"/>
        <v/>
      </c>
      <c r="CC777" s="683" t="str">
        <f t="shared" si="62"/>
        <v/>
      </c>
      <c r="CD777" s="683" t="str">
        <f t="shared" si="63"/>
        <v/>
      </c>
      <c r="CE777" s="683" t="str">
        <f t="shared" si="64"/>
        <v/>
      </c>
      <c r="CF777" s="683" t="str">
        <f t="shared" si="65"/>
        <v/>
      </c>
      <c r="CG777" s="683" t="str">
        <f t="shared" si="66"/>
        <v/>
      </c>
      <c r="CH777" s="683" t="str">
        <f t="shared" si="67"/>
        <v/>
      </c>
      <c r="CI777" s="683" t="str">
        <f t="shared" si="68"/>
        <v/>
      </c>
      <c r="CJ777" s="683" t="str">
        <f t="shared" si="69"/>
        <v/>
      </c>
      <c r="CK777" s="683" t="str">
        <f t="shared" si="70"/>
        <v/>
      </c>
      <c r="CL777" s="683" t="str">
        <f t="shared" si="71"/>
        <v/>
      </c>
      <c r="CM777" s="683" t="str">
        <f t="shared" si="72"/>
        <v/>
      </c>
      <c r="CN777" s="683" t="str">
        <f t="shared" si="73"/>
        <v/>
      </c>
      <c r="CO777" s="683" t="str">
        <f t="shared" si="74"/>
        <v/>
      </c>
      <c r="CP777" s="683" t="str">
        <f t="shared" si="75"/>
        <v/>
      </c>
      <c r="CQ777" s="683" t="str">
        <f t="shared" si="76"/>
        <v/>
      </c>
      <c r="CR777" s="683" t="str">
        <f t="shared" si="77"/>
        <v/>
      </c>
      <c r="CS777" s="683" t="str">
        <f t="shared" si="78"/>
        <v/>
      </c>
      <c r="CT777" s="683" t="str">
        <f t="shared" si="79"/>
        <v/>
      </c>
      <c r="CU777" s="683" t="str">
        <f t="shared" si="80"/>
        <v/>
      </c>
      <c r="CV777" s="683" t="str">
        <f t="shared" si="81"/>
        <v/>
      </c>
      <c r="CW777" s="683" t="str">
        <f t="shared" si="82"/>
        <v/>
      </c>
      <c r="CX777" s="683" t="str">
        <f t="shared" si="83"/>
        <v/>
      </c>
      <c r="CY777" s="683" t="str">
        <f t="shared" si="84"/>
        <v/>
      </c>
      <c r="CZ777" s="683" t="str">
        <f t="shared" si="85"/>
        <v/>
      </c>
      <c r="DA777" s="683" t="str">
        <f t="shared" si="86"/>
        <v/>
      </c>
      <c r="DB777" s="683" t="str">
        <f t="shared" si="87"/>
        <v/>
      </c>
      <c r="DC777" s="683" t="str">
        <f t="shared" si="88"/>
        <v/>
      </c>
      <c r="DD777" s="683" t="str">
        <f t="shared" si="89"/>
        <v/>
      </c>
      <c r="DE777" s="683" t="str">
        <f t="shared" si="90"/>
        <v/>
      </c>
      <c r="DF777" s="683" t="str">
        <f t="shared" si="91"/>
        <v/>
      </c>
      <c r="DG777" s="683" t="str">
        <f t="shared" si="92"/>
        <v/>
      </c>
      <c r="DH777" s="683" t="str">
        <f t="shared" si="93"/>
        <v/>
      </c>
      <c r="DI777" s="683" t="str">
        <f t="shared" si="94"/>
        <v/>
      </c>
      <c r="DJ777" s="683" t="str">
        <f t="shared" si="95"/>
        <v/>
      </c>
      <c r="DK777" s="683" t="str">
        <f t="shared" si="96"/>
        <v/>
      </c>
      <c r="DL777" s="683" t="str">
        <f t="shared" si="97"/>
        <v/>
      </c>
      <c r="DM777" s="683" t="str">
        <f t="shared" si="98"/>
        <v/>
      </c>
      <c r="DN777" s="683" t="str">
        <f t="shared" si="99"/>
        <v/>
      </c>
      <c r="DO777" s="683" t="str">
        <f t="shared" si="100"/>
        <v/>
      </c>
      <c r="DP777" s="683" t="str">
        <f t="shared" si="101"/>
        <v/>
      </c>
      <c r="DQ777" s="683" t="str">
        <f t="shared" si="102"/>
        <v/>
      </c>
      <c r="DR777" s="683" t="str">
        <f t="shared" si="103"/>
        <v/>
      </c>
      <c r="DS777" s="683" t="str">
        <f t="shared" si="104"/>
        <v/>
      </c>
      <c r="DT777" s="683" t="str">
        <f t="shared" si="105"/>
        <v/>
      </c>
      <c r="DU777" s="683" t="str">
        <f t="shared" si="106"/>
        <v/>
      </c>
      <c r="DV777" s="683" t="str">
        <f t="shared" si="107"/>
        <v/>
      </c>
      <c r="DW777" s="683" t="str">
        <f t="shared" si="108"/>
        <v/>
      </c>
      <c r="DX777" s="683" t="str">
        <f t="shared" si="109"/>
        <v/>
      </c>
      <c r="DY777" s="683" t="str">
        <f t="shared" si="110"/>
        <v/>
      </c>
      <c r="DZ777" s="683" t="str">
        <f t="shared" si="111"/>
        <v/>
      </c>
      <c r="EA777" s="683" t="str">
        <f t="shared" si="112"/>
        <v/>
      </c>
      <c r="EB777" s="683" t="str">
        <f t="shared" si="113"/>
        <v/>
      </c>
      <c r="EC777" s="683" t="str">
        <f t="shared" si="114"/>
        <v/>
      </c>
      <c r="ED777" s="683" t="str">
        <f t="shared" si="115"/>
        <v/>
      </c>
      <c r="EE777" s="683" t="str">
        <f t="shared" si="116"/>
        <v/>
      </c>
      <c r="EF777" s="683" t="str">
        <f t="shared" si="117"/>
        <v/>
      </c>
      <c r="EG777" s="683" t="str">
        <f t="shared" si="118"/>
        <v/>
      </c>
      <c r="EH777" s="683" t="str">
        <f t="shared" si="119"/>
        <v/>
      </c>
      <c r="EI777" s="683" t="str">
        <f t="shared" si="120"/>
        <v/>
      </c>
      <c r="EJ777" s="683" t="str">
        <f t="shared" si="121"/>
        <v/>
      </c>
      <c r="EK777" s="683" t="str">
        <f t="shared" si="122"/>
        <v/>
      </c>
      <c r="EL777" s="683" t="str">
        <f t="shared" si="123"/>
        <v/>
      </c>
      <c r="EM777" s="683" t="str">
        <f t="shared" si="124"/>
        <v/>
      </c>
      <c r="EN777" s="683" t="str">
        <f t="shared" si="125"/>
        <v/>
      </c>
      <c r="EO777" s="683" t="str">
        <f t="shared" si="126"/>
        <v/>
      </c>
      <c r="EP777" s="683" t="str">
        <f t="shared" si="127"/>
        <v/>
      </c>
      <c r="EQ777" s="683" t="str">
        <f t="shared" si="128"/>
        <v/>
      </c>
      <c r="ER777" s="683" t="str">
        <f t="shared" si="129"/>
        <v/>
      </c>
      <c r="ES777" s="683" t="str">
        <f t="shared" si="130"/>
        <v/>
      </c>
      <c r="ET777" s="683" t="str">
        <f t="shared" si="131"/>
        <v/>
      </c>
      <c r="EU777" s="683" t="str">
        <f t="shared" si="132"/>
        <v/>
      </c>
      <c r="EV777" s="683" t="str">
        <f t="shared" si="133"/>
        <v/>
      </c>
      <c r="EW777" s="1854" t="str">
        <f t="shared" si="134"/>
        <v/>
      </c>
      <c r="EX777" s="1854" t="str">
        <f t="shared" si="135"/>
        <v/>
      </c>
      <c r="EY777" s="1854" t="str">
        <f t="shared" si="136"/>
        <v/>
      </c>
      <c r="EZ777" s="1854" t="str">
        <f t="shared" si="137"/>
        <v/>
      </c>
      <c r="FA777" s="1854" t="str">
        <f t="shared" si="138"/>
        <v/>
      </c>
      <c r="FB777" s="1854" t="str">
        <f t="shared" si="139"/>
        <v/>
      </c>
      <c r="FC777" s="1854" t="str">
        <f t="shared" si="140"/>
        <v/>
      </c>
      <c r="FD777" s="1854" t="str">
        <f t="shared" si="141"/>
        <v/>
      </c>
      <c r="FE777" s="1854" t="str">
        <f t="shared" si="142"/>
        <v/>
      </c>
      <c r="FF777" s="1854" t="str">
        <f t="shared" si="143"/>
        <v/>
      </c>
      <c r="FG777" s="1854" t="str">
        <f t="shared" si="144"/>
        <v/>
      </c>
      <c r="FH777" s="1854" t="str">
        <f t="shared" si="145"/>
        <v/>
      </c>
      <c r="FI777" s="1854" t="str">
        <f t="shared" si="146"/>
        <v/>
      </c>
      <c r="FJ777" s="1854" t="str">
        <f t="shared" si="147"/>
        <v/>
      </c>
      <c r="FK777" s="1854" t="str">
        <f t="shared" si="148"/>
        <v/>
      </c>
      <c r="FL777" s="1854" t="str">
        <f t="shared" si="149"/>
        <v/>
      </c>
      <c r="FM777" s="1854" t="str">
        <f t="shared" si="150"/>
        <v/>
      </c>
      <c r="FN777" s="1854" t="str">
        <f t="shared" si="151"/>
        <v/>
      </c>
      <c r="FO777" s="1854" t="str">
        <f t="shared" si="152"/>
        <v/>
      </c>
      <c r="FP777" s="1854" t="str">
        <f t="shared" si="153"/>
        <v/>
      </c>
      <c r="FQ777" s="1854" t="str">
        <f t="shared" si="154"/>
        <v/>
      </c>
      <c r="FR777" s="1854" t="str">
        <f t="shared" si="155"/>
        <v/>
      </c>
      <c r="FS777" s="1854" t="str">
        <f t="shared" si="156"/>
        <v/>
      </c>
      <c r="FT777" s="1854" t="str">
        <f t="shared" si="157"/>
        <v/>
      </c>
      <c r="FU777" s="1854" t="str">
        <f t="shared" si="158"/>
        <v/>
      </c>
      <c r="FV777" s="1854" t="str">
        <f t="shared" si="159"/>
        <v/>
      </c>
      <c r="FW777" s="1854" t="str">
        <f t="shared" si="160"/>
        <v/>
      </c>
      <c r="FX777" s="1854" t="str">
        <f t="shared" si="161"/>
        <v/>
      </c>
      <c r="FY777" s="1854" t="str">
        <f t="shared" si="162"/>
        <v/>
      </c>
      <c r="FZ777" s="1854" t="str">
        <f t="shared" si="163"/>
        <v/>
      </c>
      <c r="GA777" s="1854" t="str">
        <f t="shared" si="164"/>
        <v/>
      </c>
      <c r="GB777" s="1854" t="str">
        <f t="shared" si="165"/>
        <v/>
      </c>
      <c r="GC777" s="1854" t="str">
        <f t="shared" si="166"/>
        <v/>
      </c>
      <c r="GD777" s="1854" t="str">
        <f t="shared" si="167"/>
        <v/>
      </c>
      <c r="GE777" s="1854" t="str">
        <f t="shared" si="168"/>
        <v/>
      </c>
      <c r="GF777" s="1854" t="str">
        <f t="shared" si="169"/>
        <v/>
      </c>
      <c r="GG777" s="1854" t="str">
        <f t="shared" si="170"/>
        <v/>
      </c>
      <c r="GH777" s="1854" t="str">
        <f t="shared" si="171"/>
        <v/>
      </c>
      <c r="GI777" s="1854" t="str">
        <f t="shared" si="172"/>
        <v/>
      </c>
      <c r="GJ777" s="1854" t="str">
        <f t="shared" si="173"/>
        <v/>
      </c>
      <c r="GK777" s="1854" t="str">
        <f t="shared" si="174"/>
        <v/>
      </c>
      <c r="GL777" s="1854" t="str">
        <f t="shared" si="175"/>
        <v/>
      </c>
      <c r="GM777" s="1854" t="str">
        <f t="shared" si="176"/>
        <v/>
      </c>
      <c r="GN777" s="1854" t="str">
        <f t="shared" si="177"/>
        <v/>
      </c>
      <c r="GO777" s="1854" t="str">
        <f t="shared" si="178"/>
        <v/>
      </c>
      <c r="GP777" s="1854" t="str">
        <f t="shared" si="179"/>
        <v/>
      </c>
      <c r="GQ777" s="1854" t="str">
        <f t="shared" si="180"/>
        <v/>
      </c>
      <c r="GR777" s="1854" t="str">
        <f t="shared" si="181"/>
        <v/>
      </c>
      <c r="GS777" s="1854" t="str">
        <f t="shared" si="182"/>
        <v/>
      </c>
      <c r="GT777" s="1854" t="str">
        <f t="shared" si="183"/>
        <v/>
      </c>
      <c r="GU777" s="1854" t="str">
        <f t="shared" si="184"/>
        <v/>
      </c>
      <c r="GV777" s="1854" t="str">
        <f t="shared" si="185"/>
        <v/>
      </c>
      <c r="GW777" s="1854" t="str">
        <f t="shared" si="186"/>
        <v/>
      </c>
      <c r="GX777" s="1854" t="str">
        <f t="shared" si="187"/>
        <v/>
      </c>
      <c r="GY777" s="1854" t="str">
        <f t="shared" si="188"/>
        <v/>
      </c>
      <c r="GZ777" s="1854" t="str">
        <f t="shared" si="189"/>
        <v/>
      </c>
      <c r="HA777" s="1854" t="str">
        <f t="shared" si="190"/>
        <v/>
      </c>
      <c r="HB777" s="1854" t="str">
        <f t="shared" si="191"/>
        <v/>
      </c>
      <c r="HC777" s="1854" t="str">
        <f t="shared" si="192"/>
        <v/>
      </c>
      <c r="HD777" s="1854" t="str">
        <f t="shared" si="193"/>
        <v/>
      </c>
      <c r="HE777" s="1854" t="str">
        <f t="shared" si="194"/>
        <v/>
      </c>
      <c r="HF777" s="1854" t="str">
        <f t="shared" si="195"/>
        <v/>
      </c>
      <c r="HG777" s="1854" t="str">
        <f t="shared" si="196"/>
        <v/>
      </c>
      <c r="HH777" s="1854" t="str">
        <f t="shared" si="197"/>
        <v/>
      </c>
      <c r="HI777" s="1854" t="str">
        <f t="shared" si="198"/>
        <v/>
      </c>
      <c r="HJ777" s="1854" t="str">
        <f t="shared" si="199"/>
        <v/>
      </c>
      <c r="HK777" s="1854" t="str">
        <f t="shared" si="200"/>
        <v/>
      </c>
      <c r="HL777" s="1854" t="str">
        <f t="shared" si="201"/>
        <v/>
      </c>
      <c r="HM777" s="1854" t="str">
        <f t="shared" si="202"/>
        <v/>
      </c>
      <c r="HN777" s="1854" t="str">
        <f t="shared" si="203"/>
        <v/>
      </c>
      <c r="HO777" s="1854" t="str">
        <f t="shared" si="204"/>
        <v/>
      </c>
      <c r="HP777" s="1854" t="str">
        <f t="shared" si="205"/>
        <v/>
      </c>
      <c r="HQ777" s="1854" t="str">
        <f t="shared" si="206"/>
        <v/>
      </c>
      <c r="HR777" s="1854" t="str">
        <f t="shared" si="207"/>
        <v/>
      </c>
      <c r="HS777" s="1854" t="str">
        <f t="shared" si="208"/>
        <v/>
      </c>
      <c r="HT777" s="1854" t="str">
        <f t="shared" si="209"/>
        <v/>
      </c>
      <c r="HU777" s="1854" t="str">
        <f t="shared" si="210"/>
        <v/>
      </c>
      <c r="HV777" s="1854" t="str">
        <f t="shared" si="211"/>
        <v/>
      </c>
      <c r="HW777" s="1854" t="str">
        <f t="shared" si="212"/>
        <v/>
      </c>
      <c r="HX777" s="1854" t="str">
        <f t="shared" si="213"/>
        <v/>
      </c>
      <c r="HY777" s="1854" t="str">
        <f t="shared" si="214"/>
        <v/>
      </c>
      <c r="HZ777" s="1854" t="str">
        <f t="shared" si="215"/>
        <v/>
      </c>
      <c r="IA777" s="1854" t="str">
        <f t="shared" si="216"/>
        <v/>
      </c>
      <c r="IB777" s="1854" t="str">
        <f t="shared" si="217"/>
        <v/>
      </c>
      <c r="IC777" s="1854" t="str">
        <f t="shared" si="218"/>
        <v/>
      </c>
      <c r="ID777" s="1826" t="str">
        <f t="shared" si="219"/>
        <v/>
      </c>
      <c r="IE777" s="1826" t="str">
        <f t="shared" si="220"/>
        <v/>
      </c>
      <c r="IF777" s="1826" t="str">
        <f t="shared" si="221"/>
        <v/>
      </c>
      <c r="IG777" s="1826" t="str">
        <f t="shared" si="222"/>
        <v/>
      </c>
      <c r="IH777" s="1826" t="str">
        <f t="shared" si="223"/>
        <v/>
      </c>
      <c r="II777" s="683" t="str">
        <f t="shared" si="224"/>
        <v/>
      </c>
      <c r="IJ777" s="683" t="str">
        <f t="shared" si="225"/>
        <v/>
      </c>
      <c r="IK777" s="683" t="str">
        <f t="shared" si="226"/>
        <v/>
      </c>
      <c r="IL777" s="683" t="str">
        <f t="shared" si="227"/>
        <v/>
      </c>
      <c r="IM777" s="683" t="str">
        <f t="shared" si="228"/>
        <v/>
      </c>
      <c r="IN777" s="683" t="str">
        <f t="shared" si="229"/>
        <v/>
      </c>
      <c r="IO777" s="683" t="str">
        <f t="shared" si="230"/>
        <v/>
      </c>
      <c r="IP777" s="683" t="str">
        <f t="shared" si="231"/>
        <v/>
      </c>
      <c r="IQ777" s="683" t="str">
        <f t="shared" si="232"/>
        <v/>
      </c>
      <c r="IR777" s="683" t="str">
        <f t="shared" si="233"/>
        <v/>
      </c>
      <c r="IS777" s="683" t="str">
        <f t="shared" si="234"/>
        <v/>
      </c>
      <c r="IT777" s="683" t="str">
        <f t="shared" si="235"/>
        <v/>
      </c>
      <c r="IU777" s="683" t="str">
        <f t="shared" si="236"/>
        <v/>
      </c>
      <c r="IV777" s="683" t="str">
        <f t="shared" si="237"/>
        <v/>
      </c>
      <c r="IW777" s="683" t="str">
        <f t="shared" si="238"/>
        <v/>
      </c>
      <c r="IX777" s="683" t="str">
        <f t="shared" si="239"/>
        <v/>
      </c>
      <c r="IY777" s="683" t="str">
        <f t="shared" si="240"/>
        <v/>
      </c>
      <c r="IZ777" s="683" t="str">
        <f t="shared" si="241"/>
        <v/>
      </c>
      <c r="JA777" s="683" t="str">
        <f t="shared" si="242"/>
        <v/>
      </c>
      <c r="JB777" s="683" t="str">
        <f t="shared" si="243"/>
        <v/>
      </c>
      <c r="JC777" s="1824">
        <f t="shared" si="244"/>
        <v>0</v>
      </c>
      <c r="JD777" s="1824">
        <f t="shared" si="245"/>
        <v>0</v>
      </c>
      <c r="JE777" s="1824">
        <f t="shared" si="246"/>
        <v>0</v>
      </c>
      <c r="JF777" s="1824">
        <f t="shared" si="247"/>
        <v>0</v>
      </c>
      <c r="JG777" s="1824">
        <f t="shared" si="248"/>
        <v>0</v>
      </c>
      <c r="JH777" s="1824">
        <f t="shared" si="249"/>
        <v>0</v>
      </c>
      <c r="JI777" s="1824">
        <f t="shared" si="250"/>
        <v>0</v>
      </c>
      <c r="JJ777" s="1824">
        <f t="shared" si="251"/>
        <v>0</v>
      </c>
      <c r="JK777" s="1824">
        <f t="shared" si="252"/>
        <v>0</v>
      </c>
      <c r="JL777" s="1824">
        <f t="shared" si="253"/>
        <v>0</v>
      </c>
      <c r="JM777" s="1824">
        <f t="shared" si="254"/>
        <v>0</v>
      </c>
      <c r="JN777" s="1824">
        <f t="shared" si="255"/>
        <v>0</v>
      </c>
      <c r="JO777" s="1824">
        <f t="shared" si="256"/>
        <v>0</v>
      </c>
      <c r="JP777" s="1824">
        <f t="shared" si="257"/>
        <v>0</v>
      </c>
      <c r="JQ777" s="1824">
        <f t="shared" si="258"/>
        <v>0</v>
      </c>
    </row>
    <row r="778" spans="1:277" ht="12" customHeight="1">
      <c r="A778" s="1837" t="str">
        <f t="shared" si="1"/>
        <v/>
      </c>
      <c r="B778" s="1846" t="str">
        <f>'Part VI-Revenues &amp; Expenses'!B21</f>
        <v>&lt;&lt;Select&gt;&gt;</v>
      </c>
      <c r="C778" s="1847">
        <f>'Part VI-Revenues &amp; Expenses'!C21</f>
        <v>0</v>
      </c>
      <c r="D778" s="1848">
        <f>'Part VI-Revenues &amp; Expenses'!D21</f>
        <v>0</v>
      </c>
      <c r="E778" s="1849">
        <f>'Part VI-Revenues &amp; Expenses'!E21</f>
        <v>0</v>
      </c>
      <c r="F778" s="1849">
        <f>'Part VI-Revenues &amp; Expenses'!F21</f>
        <v>0</v>
      </c>
      <c r="G778" s="1849">
        <f>'Part VI-Revenues &amp; Expenses'!G21</f>
        <v>0</v>
      </c>
      <c r="H778" s="1849">
        <f>'Part VI-Revenues &amp; Expenses'!H21</f>
        <v>0</v>
      </c>
      <c r="I778" s="1849">
        <f>'Part VI-Revenues &amp; Expenses'!I21</f>
        <v>0</v>
      </c>
      <c r="J778" s="1850">
        <f>'Part VI-Revenues &amp; Expenses'!J21</f>
        <v>0</v>
      </c>
      <c r="K778" s="1851">
        <f t="shared" si="2"/>
        <v>0</v>
      </c>
      <c r="L778" s="1851">
        <f t="shared" si="3"/>
        <v>0</v>
      </c>
      <c r="M778" s="1725">
        <f>'Part VI-Revenues &amp; Expenses'!M21</f>
        <v>0</v>
      </c>
      <c r="N778" s="1725">
        <f>'Part VI-Revenues &amp; Expenses'!N21</f>
        <v>0</v>
      </c>
      <c r="O778" s="1725">
        <f>'Part VI-Revenues &amp; Expenses'!O21</f>
        <v>0</v>
      </c>
      <c r="P778" s="1831">
        <f>'Part VI-Revenues &amp; Expenses'!P21</f>
        <v>0</v>
      </c>
      <c r="Q778" s="1852" t="str">
        <f>'Part VI-Revenues &amp; Expenses'!Q21</f>
        <v/>
      </c>
      <c r="R778" s="1853" t="str">
        <f>'Part VI-Revenues &amp; Expenses'!R21</f>
        <v/>
      </c>
      <c r="S778" s="1852">
        <f>'Part VI-Revenues &amp; Expenses'!S21</f>
        <v>0</v>
      </c>
      <c r="T778" s="1853">
        <f>'Part VI-Revenues &amp; Expenses'!T21</f>
        <v>0</v>
      </c>
      <c r="U778" s="1775"/>
      <c r="V778" s="1775"/>
      <c r="W778" s="683" t="str">
        <f t="shared" si="4"/>
        <v/>
      </c>
      <c r="X778" s="683" t="str">
        <f t="shared" si="5"/>
        <v/>
      </c>
      <c r="Y778" s="683" t="str">
        <f t="shared" si="6"/>
        <v/>
      </c>
      <c r="Z778" s="683" t="str">
        <f t="shared" si="7"/>
        <v/>
      </c>
      <c r="AA778" s="683" t="str">
        <f t="shared" si="8"/>
        <v/>
      </c>
      <c r="AB778" s="683" t="str">
        <f t="shared" si="9"/>
        <v/>
      </c>
      <c r="AC778" s="683" t="str">
        <f t="shared" si="10"/>
        <v/>
      </c>
      <c r="AD778" s="683" t="str">
        <f t="shared" si="11"/>
        <v/>
      </c>
      <c r="AE778" s="683" t="str">
        <f t="shared" si="12"/>
        <v/>
      </c>
      <c r="AF778" s="683" t="str">
        <f t="shared" si="13"/>
        <v/>
      </c>
      <c r="AG778" s="683" t="str">
        <f t="shared" si="14"/>
        <v/>
      </c>
      <c r="AH778" s="683" t="str">
        <f t="shared" si="15"/>
        <v/>
      </c>
      <c r="AI778" s="683" t="str">
        <f t="shared" si="16"/>
        <v/>
      </c>
      <c r="AJ778" s="683" t="str">
        <f t="shared" si="17"/>
        <v/>
      </c>
      <c r="AK778" s="683" t="str">
        <f t="shared" si="18"/>
        <v/>
      </c>
      <c r="AL778" s="683" t="str">
        <f t="shared" si="19"/>
        <v/>
      </c>
      <c r="AM778" s="683" t="str">
        <f t="shared" si="20"/>
        <v/>
      </c>
      <c r="AN778" s="683" t="str">
        <f t="shared" si="21"/>
        <v/>
      </c>
      <c r="AO778" s="683" t="str">
        <f t="shared" si="22"/>
        <v/>
      </c>
      <c r="AP778" s="683" t="str">
        <f t="shared" si="23"/>
        <v/>
      </c>
      <c r="AQ778" s="683" t="str">
        <f t="shared" si="24"/>
        <v/>
      </c>
      <c r="AR778" s="683" t="str">
        <f t="shared" si="25"/>
        <v/>
      </c>
      <c r="AS778" s="683" t="str">
        <f t="shared" si="26"/>
        <v/>
      </c>
      <c r="AT778" s="683" t="str">
        <f t="shared" si="27"/>
        <v/>
      </c>
      <c r="AU778" s="683" t="str">
        <f t="shared" si="28"/>
        <v/>
      </c>
      <c r="AV778" s="683" t="str">
        <f t="shared" si="29"/>
        <v/>
      </c>
      <c r="AW778" s="683" t="str">
        <f t="shared" si="30"/>
        <v/>
      </c>
      <c r="AX778" s="683" t="str">
        <f t="shared" si="31"/>
        <v/>
      </c>
      <c r="AY778" s="683" t="str">
        <f t="shared" si="32"/>
        <v/>
      </c>
      <c r="AZ778" s="683" t="str">
        <f t="shared" si="33"/>
        <v/>
      </c>
      <c r="BA778" s="683" t="str">
        <f t="shared" si="34"/>
        <v/>
      </c>
      <c r="BB778" s="683" t="str">
        <f t="shared" si="35"/>
        <v/>
      </c>
      <c r="BC778" s="683" t="str">
        <f t="shared" si="36"/>
        <v/>
      </c>
      <c r="BD778" s="683" t="str">
        <f t="shared" si="37"/>
        <v/>
      </c>
      <c r="BE778" s="683" t="str">
        <f t="shared" si="38"/>
        <v/>
      </c>
      <c r="BF778" s="683" t="str">
        <f t="shared" si="39"/>
        <v/>
      </c>
      <c r="BG778" s="683" t="str">
        <f t="shared" si="40"/>
        <v/>
      </c>
      <c r="BH778" s="683" t="str">
        <f t="shared" si="41"/>
        <v/>
      </c>
      <c r="BI778" s="683" t="str">
        <f t="shared" si="42"/>
        <v/>
      </c>
      <c r="BJ778" s="683" t="str">
        <f t="shared" si="43"/>
        <v/>
      </c>
      <c r="BK778" s="683" t="str">
        <f t="shared" si="44"/>
        <v/>
      </c>
      <c r="BL778" s="683" t="str">
        <f t="shared" si="45"/>
        <v/>
      </c>
      <c r="BM778" s="683" t="str">
        <f t="shared" si="46"/>
        <v/>
      </c>
      <c r="BN778" s="683" t="str">
        <f t="shared" si="47"/>
        <v/>
      </c>
      <c r="BO778" s="683" t="str">
        <f t="shared" si="48"/>
        <v/>
      </c>
      <c r="BP778" s="683" t="str">
        <f t="shared" si="49"/>
        <v/>
      </c>
      <c r="BQ778" s="683" t="str">
        <f t="shared" si="50"/>
        <v/>
      </c>
      <c r="BR778" s="683" t="str">
        <f t="shared" si="51"/>
        <v/>
      </c>
      <c r="BS778" s="683" t="str">
        <f t="shared" si="52"/>
        <v/>
      </c>
      <c r="BT778" s="683" t="str">
        <f t="shared" si="53"/>
        <v/>
      </c>
      <c r="BU778" s="683" t="str">
        <f t="shared" si="54"/>
        <v/>
      </c>
      <c r="BV778" s="683" t="str">
        <f t="shared" si="55"/>
        <v/>
      </c>
      <c r="BW778" s="683" t="str">
        <f t="shared" si="56"/>
        <v/>
      </c>
      <c r="BX778" s="683" t="str">
        <f t="shared" si="57"/>
        <v/>
      </c>
      <c r="BY778" s="683" t="str">
        <f t="shared" si="58"/>
        <v/>
      </c>
      <c r="BZ778" s="683" t="str">
        <f t="shared" si="59"/>
        <v/>
      </c>
      <c r="CA778" s="683" t="str">
        <f t="shared" si="60"/>
        <v/>
      </c>
      <c r="CB778" s="683" t="str">
        <f t="shared" si="61"/>
        <v/>
      </c>
      <c r="CC778" s="683" t="str">
        <f t="shared" si="62"/>
        <v/>
      </c>
      <c r="CD778" s="683" t="str">
        <f t="shared" si="63"/>
        <v/>
      </c>
      <c r="CE778" s="683" t="str">
        <f t="shared" si="64"/>
        <v/>
      </c>
      <c r="CF778" s="683" t="str">
        <f t="shared" si="65"/>
        <v/>
      </c>
      <c r="CG778" s="683" t="str">
        <f t="shared" si="66"/>
        <v/>
      </c>
      <c r="CH778" s="683" t="str">
        <f t="shared" si="67"/>
        <v/>
      </c>
      <c r="CI778" s="683" t="str">
        <f t="shared" si="68"/>
        <v/>
      </c>
      <c r="CJ778" s="683" t="str">
        <f t="shared" si="69"/>
        <v/>
      </c>
      <c r="CK778" s="683" t="str">
        <f t="shared" si="70"/>
        <v/>
      </c>
      <c r="CL778" s="683" t="str">
        <f t="shared" si="71"/>
        <v/>
      </c>
      <c r="CM778" s="683" t="str">
        <f t="shared" si="72"/>
        <v/>
      </c>
      <c r="CN778" s="683" t="str">
        <f t="shared" si="73"/>
        <v/>
      </c>
      <c r="CO778" s="683" t="str">
        <f t="shared" si="74"/>
        <v/>
      </c>
      <c r="CP778" s="683" t="str">
        <f t="shared" si="75"/>
        <v/>
      </c>
      <c r="CQ778" s="683" t="str">
        <f t="shared" si="76"/>
        <v/>
      </c>
      <c r="CR778" s="683" t="str">
        <f t="shared" si="77"/>
        <v/>
      </c>
      <c r="CS778" s="683" t="str">
        <f t="shared" si="78"/>
        <v/>
      </c>
      <c r="CT778" s="683" t="str">
        <f t="shared" si="79"/>
        <v/>
      </c>
      <c r="CU778" s="683" t="str">
        <f t="shared" si="80"/>
        <v/>
      </c>
      <c r="CV778" s="683" t="str">
        <f t="shared" si="81"/>
        <v/>
      </c>
      <c r="CW778" s="683" t="str">
        <f t="shared" si="82"/>
        <v/>
      </c>
      <c r="CX778" s="683" t="str">
        <f t="shared" si="83"/>
        <v/>
      </c>
      <c r="CY778" s="683" t="str">
        <f t="shared" si="84"/>
        <v/>
      </c>
      <c r="CZ778" s="683" t="str">
        <f t="shared" si="85"/>
        <v/>
      </c>
      <c r="DA778" s="683" t="str">
        <f t="shared" si="86"/>
        <v/>
      </c>
      <c r="DB778" s="683" t="str">
        <f t="shared" si="87"/>
        <v/>
      </c>
      <c r="DC778" s="683" t="str">
        <f t="shared" si="88"/>
        <v/>
      </c>
      <c r="DD778" s="683" t="str">
        <f t="shared" si="89"/>
        <v/>
      </c>
      <c r="DE778" s="683" t="str">
        <f t="shared" si="90"/>
        <v/>
      </c>
      <c r="DF778" s="683" t="str">
        <f t="shared" si="91"/>
        <v/>
      </c>
      <c r="DG778" s="683" t="str">
        <f t="shared" si="92"/>
        <v/>
      </c>
      <c r="DH778" s="683" t="str">
        <f t="shared" si="93"/>
        <v/>
      </c>
      <c r="DI778" s="683" t="str">
        <f t="shared" si="94"/>
        <v/>
      </c>
      <c r="DJ778" s="683" t="str">
        <f t="shared" si="95"/>
        <v/>
      </c>
      <c r="DK778" s="683" t="str">
        <f t="shared" si="96"/>
        <v/>
      </c>
      <c r="DL778" s="683" t="str">
        <f t="shared" si="97"/>
        <v/>
      </c>
      <c r="DM778" s="683" t="str">
        <f t="shared" si="98"/>
        <v/>
      </c>
      <c r="DN778" s="683" t="str">
        <f t="shared" si="99"/>
        <v/>
      </c>
      <c r="DO778" s="683" t="str">
        <f t="shared" si="100"/>
        <v/>
      </c>
      <c r="DP778" s="683" t="str">
        <f t="shared" si="101"/>
        <v/>
      </c>
      <c r="DQ778" s="683" t="str">
        <f t="shared" si="102"/>
        <v/>
      </c>
      <c r="DR778" s="683" t="str">
        <f t="shared" si="103"/>
        <v/>
      </c>
      <c r="DS778" s="683" t="str">
        <f t="shared" si="104"/>
        <v/>
      </c>
      <c r="DT778" s="683" t="str">
        <f t="shared" si="105"/>
        <v/>
      </c>
      <c r="DU778" s="683" t="str">
        <f t="shared" si="106"/>
        <v/>
      </c>
      <c r="DV778" s="683" t="str">
        <f t="shared" si="107"/>
        <v/>
      </c>
      <c r="DW778" s="683" t="str">
        <f t="shared" si="108"/>
        <v/>
      </c>
      <c r="DX778" s="683" t="str">
        <f t="shared" si="109"/>
        <v/>
      </c>
      <c r="DY778" s="683" t="str">
        <f t="shared" si="110"/>
        <v/>
      </c>
      <c r="DZ778" s="683" t="str">
        <f t="shared" si="111"/>
        <v/>
      </c>
      <c r="EA778" s="683" t="str">
        <f t="shared" si="112"/>
        <v/>
      </c>
      <c r="EB778" s="683" t="str">
        <f t="shared" si="113"/>
        <v/>
      </c>
      <c r="EC778" s="683" t="str">
        <f t="shared" si="114"/>
        <v/>
      </c>
      <c r="ED778" s="683" t="str">
        <f t="shared" si="115"/>
        <v/>
      </c>
      <c r="EE778" s="683" t="str">
        <f t="shared" si="116"/>
        <v/>
      </c>
      <c r="EF778" s="683" t="str">
        <f t="shared" si="117"/>
        <v/>
      </c>
      <c r="EG778" s="683" t="str">
        <f t="shared" si="118"/>
        <v/>
      </c>
      <c r="EH778" s="683" t="str">
        <f t="shared" si="119"/>
        <v/>
      </c>
      <c r="EI778" s="683" t="str">
        <f t="shared" si="120"/>
        <v/>
      </c>
      <c r="EJ778" s="683" t="str">
        <f t="shared" si="121"/>
        <v/>
      </c>
      <c r="EK778" s="683" t="str">
        <f t="shared" si="122"/>
        <v/>
      </c>
      <c r="EL778" s="683" t="str">
        <f t="shared" si="123"/>
        <v/>
      </c>
      <c r="EM778" s="683" t="str">
        <f t="shared" si="124"/>
        <v/>
      </c>
      <c r="EN778" s="683" t="str">
        <f t="shared" si="125"/>
        <v/>
      </c>
      <c r="EO778" s="683" t="str">
        <f t="shared" si="126"/>
        <v/>
      </c>
      <c r="EP778" s="683" t="str">
        <f t="shared" si="127"/>
        <v/>
      </c>
      <c r="EQ778" s="683" t="str">
        <f t="shared" si="128"/>
        <v/>
      </c>
      <c r="ER778" s="683" t="str">
        <f t="shared" si="129"/>
        <v/>
      </c>
      <c r="ES778" s="683" t="str">
        <f t="shared" si="130"/>
        <v/>
      </c>
      <c r="ET778" s="683" t="str">
        <f t="shared" si="131"/>
        <v/>
      </c>
      <c r="EU778" s="683" t="str">
        <f t="shared" si="132"/>
        <v/>
      </c>
      <c r="EV778" s="683" t="str">
        <f t="shared" si="133"/>
        <v/>
      </c>
      <c r="EW778" s="1854" t="str">
        <f t="shared" si="134"/>
        <v/>
      </c>
      <c r="EX778" s="1854" t="str">
        <f t="shared" si="135"/>
        <v/>
      </c>
      <c r="EY778" s="1854" t="str">
        <f t="shared" si="136"/>
        <v/>
      </c>
      <c r="EZ778" s="1854" t="str">
        <f t="shared" si="137"/>
        <v/>
      </c>
      <c r="FA778" s="1854" t="str">
        <f t="shared" si="138"/>
        <v/>
      </c>
      <c r="FB778" s="1854" t="str">
        <f t="shared" si="139"/>
        <v/>
      </c>
      <c r="FC778" s="1854" t="str">
        <f t="shared" si="140"/>
        <v/>
      </c>
      <c r="FD778" s="1854" t="str">
        <f t="shared" si="141"/>
        <v/>
      </c>
      <c r="FE778" s="1854" t="str">
        <f t="shared" si="142"/>
        <v/>
      </c>
      <c r="FF778" s="1854" t="str">
        <f t="shared" si="143"/>
        <v/>
      </c>
      <c r="FG778" s="1854" t="str">
        <f t="shared" si="144"/>
        <v/>
      </c>
      <c r="FH778" s="1854" t="str">
        <f t="shared" si="145"/>
        <v/>
      </c>
      <c r="FI778" s="1854" t="str">
        <f t="shared" si="146"/>
        <v/>
      </c>
      <c r="FJ778" s="1854" t="str">
        <f t="shared" si="147"/>
        <v/>
      </c>
      <c r="FK778" s="1854" t="str">
        <f t="shared" si="148"/>
        <v/>
      </c>
      <c r="FL778" s="1854" t="str">
        <f t="shared" si="149"/>
        <v/>
      </c>
      <c r="FM778" s="1854" t="str">
        <f t="shared" si="150"/>
        <v/>
      </c>
      <c r="FN778" s="1854" t="str">
        <f t="shared" si="151"/>
        <v/>
      </c>
      <c r="FO778" s="1854" t="str">
        <f t="shared" si="152"/>
        <v/>
      </c>
      <c r="FP778" s="1854" t="str">
        <f t="shared" si="153"/>
        <v/>
      </c>
      <c r="FQ778" s="1854" t="str">
        <f t="shared" si="154"/>
        <v/>
      </c>
      <c r="FR778" s="1854" t="str">
        <f t="shared" si="155"/>
        <v/>
      </c>
      <c r="FS778" s="1854" t="str">
        <f t="shared" si="156"/>
        <v/>
      </c>
      <c r="FT778" s="1854" t="str">
        <f t="shared" si="157"/>
        <v/>
      </c>
      <c r="FU778" s="1854" t="str">
        <f t="shared" si="158"/>
        <v/>
      </c>
      <c r="FV778" s="1854" t="str">
        <f t="shared" si="159"/>
        <v/>
      </c>
      <c r="FW778" s="1854" t="str">
        <f t="shared" si="160"/>
        <v/>
      </c>
      <c r="FX778" s="1854" t="str">
        <f t="shared" si="161"/>
        <v/>
      </c>
      <c r="FY778" s="1854" t="str">
        <f t="shared" si="162"/>
        <v/>
      </c>
      <c r="FZ778" s="1854" t="str">
        <f t="shared" si="163"/>
        <v/>
      </c>
      <c r="GA778" s="1854" t="str">
        <f t="shared" si="164"/>
        <v/>
      </c>
      <c r="GB778" s="1854" t="str">
        <f t="shared" si="165"/>
        <v/>
      </c>
      <c r="GC778" s="1854" t="str">
        <f t="shared" si="166"/>
        <v/>
      </c>
      <c r="GD778" s="1854" t="str">
        <f t="shared" si="167"/>
        <v/>
      </c>
      <c r="GE778" s="1854" t="str">
        <f t="shared" si="168"/>
        <v/>
      </c>
      <c r="GF778" s="1854" t="str">
        <f t="shared" si="169"/>
        <v/>
      </c>
      <c r="GG778" s="1854" t="str">
        <f t="shared" si="170"/>
        <v/>
      </c>
      <c r="GH778" s="1854" t="str">
        <f t="shared" si="171"/>
        <v/>
      </c>
      <c r="GI778" s="1854" t="str">
        <f t="shared" si="172"/>
        <v/>
      </c>
      <c r="GJ778" s="1854" t="str">
        <f t="shared" si="173"/>
        <v/>
      </c>
      <c r="GK778" s="1854" t="str">
        <f t="shared" si="174"/>
        <v/>
      </c>
      <c r="GL778" s="1854" t="str">
        <f t="shared" si="175"/>
        <v/>
      </c>
      <c r="GM778" s="1854" t="str">
        <f t="shared" si="176"/>
        <v/>
      </c>
      <c r="GN778" s="1854" t="str">
        <f t="shared" si="177"/>
        <v/>
      </c>
      <c r="GO778" s="1854" t="str">
        <f t="shared" si="178"/>
        <v/>
      </c>
      <c r="GP778" s="1854" t="str">
        <f t="shared" si="179"/>
        <v/>
      </c>
      <c r="GQ778" s="1854" t="str">
        <f t="shared" si="180"/>
        <v/>
      </c>
      <c r="GR778" s="1854" t="str">
        <f t="shared" si="181"/>
        <v/>
      </c>
      <c r="GS778" s="1854" t="str">
        <f t="shared" si="182"/>
        <v/>
      </c>
      <c r="GT778" s="1854" t="str">
        <f t="shared" si="183"/>
        <v/>
      </c>
      <c r="GU778" s="1854" t="str">
        <f t="shared" si="184"/>
        <v/>
      </c>
      <c r="GV778" s="1854" t="str">
        <f t="shared" si="185"/>
        <v/>
      </c>
      <c r="GW778" s="1854" t="str">
        <f t="shared" si="186"/>
        <v/>
      </c>
      <c r="GX778" s="1854" t="str">
        <f t="shared" si="187"/>
        <v/>
      </c>
      <c r="GY778" s="1854" t="str">
        <f t="shared" si="188"/>
        <v/>
      </c>
      <c r="GZ778" s="1854" t="str">
        <f t="shared" si="189"/>
        <v/>
      </c>
      <c r="HA778" s="1854" t="str">
        <f t="shared" si="190"/>
        <v/>
      </c>
      <c r="HB778" s="1854" t="str">
        <f t="shared" si="191"/>
        <v/>
      </c>
      <c r="HC778" s="1854" t="str">
        <f t="shared" si="192"/>
        <v/>
      </c>
      <c r="HD778" s="1854" t="str">
        <f t="shared" si="193"/>
        <v/>
      </c>
      <c r="HE778" s="1854" t="str">
        <f t="shared" si="194"/>
        <v/>
      </c>
      <c r="HF778" s="1854" t="str">
        <f t="shared" si="195"/>
        <v/>
      </c>
      <c r="HG778" s="1854" t="str">
        <f t="shared" si="196"/>
        <v/>
      </c>
      <c r="HH778" s="1854" t="str">
        <f t="shared" si="197"/>
        <v/>
      </c>
      <c r="HI778" s="1854" t="str">
        <f t="shared" si="198"/>
        <v/>
      </c>
      <c r="HJ778" s="1854" t="str">
        <f t="shared" si="199"/>
        <v/>
      </c>
      <c r="HK778" s="1854" t="str">
        <f t="shared" si="200"/>
        <v/>
      </c>
      <c r="HL778" s="1854" t="str">
        <f t="shared" si="201"/>
        <v/>
      </c>
      <c r="HM778" s="1854" t="str">
        <f t="shared" si="202"/>
        <v/>
      </c>
      <c r="HN778" s="1854" t="str">
        <f t="shared" si="203"/>
        <v/>
      </c>
      <c r="HO778" s="1854" t="str">
        <f t="shared" si="204"/>
        <v/>
      </c>
      <c r="HP778" s="1854" t="str">
        <f t="shared" si="205"/>
        <v/>
      </c>
      <c r="HQ778" s="1854" t="str">
        <f t="shared" si="206"/>
        <v/>
      </c>
      <c r="HR778" s="1854" t="str">
        <f t="shared" si="207"/>
        <v/>
      </c>
      <c r="HS778" s="1854" t="str">
        <f t="shared" si="208"/>
        <v/>
      </c>
      <c r="HT778" s="1854" t="str">
        <f t="shared" si="209"/>
        <v/>
      </c>
      <c r="HU778" s="1854" t="str">
        <f t="shared" si="210"/>
        <v/>
      </c>
      <c r="HV778" s="1854" t="str">
        <f t="shared" si="211"/>
        <v/>
      </c>
      <c r="HW778" s="1854" t="str">
        <f t="shared" si="212"/>
        <v/>
      </c>
      <c r="HX778" s="1854" t="str">
        <f t="shared" si="213"/>
        <v/>
      </c>
      <c r="HY778" s="1854" t="str">
        <f t="shared" si="214"/>
        <v/>
      </c>
      <c r="HZ778" s="1854" t="str">
        <f t="shared" si="215"/>
        <v/>
      </c>
      <c r="IA778" s="1854" t="str">
        <f t="shared" si="216"/>
        <v/>
      </c>
      <c r="IB778" s="1854" t="str">
        <f t="shared" si="217"/>
        <v/>
      </c>
      <c r="IC778" s="1854" t="str">
        <f t="shared" si="218"/>
        <v/>
      </c>
      <c r="ID778" s="1826" t="str">
        <f t="shared" si="219"/>
        <v/>
      </c>
      <c r="IE778" s="1826" t="str">
        <f t="shared" si="220"/>
        <v/>
      </c>
      <c r="IF778" s="1826" t="str">
        <f t="shared" si="221"/>
        <v/>
      </c>
      <c r="IG778" s="1826" t="str">
        <f t="shared" si="222"/>
        <v/>
      </c>
      <c r="IH778" s="1826" t="str">
        <f t="shared" si="223"/>
        <v/>
      </c>
      <c r="II778" s="683" t="str">
        <f t="shared" si="224"/>
        <v/>
      </c>
      <c r="IJ778" s="683" t="str">
        <f t="shared" si="225"/>
        <v/>
      </c>
      <c r="IK778" s="683" t="str">
        <f t="shared" si="226"/>
        <v/>
      </c>
      <c r="IL778" s="683" t="str">
        <f t="shared" si="227"/>
        <v/>
      </c>
      <c r="IM778" s="683" t="str">
        <f t="shared" si="228"/>
        <v/>
      </c>
      <c r="IN778" s="683" t="str">
        <f t="shared" si="229"/>
        <v/>
      </c>
      <c r="IO778" s="683" t="str">
        <f t="shared" si="230"/>
        <v/>
      </c>
      <c r="IP778" s="683" t="str">
        <f t="shared" si="231"/>
        <v/>
      </c>
      <c r="IQ778" s="683" t="str">
        <f t="shared" si="232"/>
        <v/>
      </c>
      <c r="IR778" s="683" t="str">
        <f t="shared" si="233"/>
        <v/>
      </c>
      <c r="IS778" s="683" t="str">
        <f t="shared" si="234"/>
        <v/>
      </c>
      <c r="IT778" s="683" t="str">
        <f t="shared" si="235"/>
        <v/>
      </c>
      <c r="IU778" s="683" t="str">
        <f t="shared" si="236"/>
        <v/>
      </c>
      <c r="IV778" s="683" t="str">
        <f t="shared" si="237"/>
        <v/>
      </c>
      <c r="IW778" s="683" t="str">
        <f t="shared" si="238"/>
        <v/>
      </c>
      <c r="IX778" s="683" t="str">
        <f t="shared" si="239"/>
        <v/>
      </c>
      <c r="IY778" s="683" t="str">
        <f t="shared" si="240"/>
        <v/>
      </c>
      <c r="IZ778" s="683" t="str">
        <f t="shared" si="241"/>
        <v/>
      </c>
      <c r="JA778" s="683" t="str">
        <f t="shared" si="242"/>
        <v/>
      </c>
      <c r="JB778" s="683" t="str">
        <f t="shared" si="243"/>
        <v/>
      </c>
      <c r="JC778" s="1824">
        <f t="shared" si="244"/>
        <v>0</v>
      </c>
      <c r="JD778" s="1824">
        <f t="shared" si="245"/>
        <v>0</v>
      </c>
      <c r="JE778" s="1824">
        <f t="shared" si="246"/>
        <v>0</v>
      </c>
      <c r="JF778" s="1824">
        <f t="shared" si="247"/>
        <v>0</v>
      </c>
      <c r="JG778" s="1824">
        <f t="shared" si="248"/>
        <v>0</v>
      </c>
      <c r="JH778" s="1824">
        <f t="shared" si="249"/>
        <v>0</v>
      </c>
      <c r="JI778" s="1824">
        <f t="shared" si="250"/>
        <v>0</v>
      </c>
      <c r="JJ778" s="1824">
        <f t="shared" si="251"/>
        <v>0</v>
      </c>
      <c r="JK778" s="1824">
        <f t="shared" si="252"/>
        <v>0</v>
      </c>
      <c r="JL778" s="1824">
        <f t="shared" si="253"/>
        <v>0</v>
      </c>
      <c r="JM778" s="1824">
        <f t="shared" si="254"/>
        <v>0</v>
      </c>
      <c r="JN778" s="1824">
        <f t="shared" si="255"/>
        <v>0</v>
      </c>
      <c r="JO778" s="1824">
        <f t="shared" si="256"/>
        <v>0</v>
      </c>
      <c r="JP778" s="1824">
        <f t="shared" si="257"/>
        <v>0</v>
      </c>
      <c r="JQ778" s="1824">
        <f t="shared" si="258"/>
        <v>0</v>
      </c>
    </row>
    <row r="779" spans="1:277" ht="12" customHeight="1">
      <c r="A779" s="1837" t="str">
        <f t="shared" si="1"/>
        <v/>
      </c>
      <c r="B779" s="1846" t="str">
        <f>'Part VI-Revenues &amp; Expenses'!B22</f>
        <v>&lt;&lt;Select&gt;&gt;</v>
      </c>
      <c r="C779" s="1847">
        <f>'Part VI-Revenues &amp; Expenses'!C22</f>
        <v>0</v>
      </c>
      <c r="D779" s="1848">
        <f>'Part VI-Revenues &amp; Expenses'!D22</f>
        <v>0</v>
      </c>
      <c r="E779" s="1849">
        <f>'Part VI-Revenues &amp; Expenses'!E22</f>
        <v>0</v>
      </c>
      <c r="F779" s="1849">
        <f>'Part VI-Revenues &amp; Expenses'!F22</f>
        <v>0</v>
      </c>
      <c r="G779" s="1849">
        <f>'Part VI-Revenues &amp; Expenses'!G22</f>
        <v>0</v>
      </c>
      <c r="H779" s="1849">
        <f>'Part VI-Revenues &amp; Expenses'!H22</f>
        <v>0</v>
      </c>
      <c r="I779" s="1849">
        <f>'Part VI-Revenues &amp; Expenses'!I22</f>
        <v>0</v>
      </c>
      <c r="J779" s="1850">
        <f>'Part VI-Revenues &amp; Expenses'!J22</f>
        <v>0</v>
      </c>
      <c r="K779" s="1851">
        <f t="shared" si="2"/>
        <v>0</v>
      </c>
      <c r="L779" s="1851">
        <f t="shared" si="3"/>
        <v>0</v>
      </c>
      <c r="M779" s="1725">
        <f>'Part VI-Revenues &amp; Expenses'!M22</f>
        <v>0</v>
      </c>
      <c r="N779" s="1725">
        <f>'Part VI-Revenues &amp; Expenses'!N22</f>
        <v>0</v>
      </c>
      <c r="O779" s="1725">
        <f>'Part VI-Revenues &amp; Expenses'!O22</f>
        <v>0</v>
      </c>
      <c r="P779" s="1831">
        <f>'Part VI-Revenues &amp; Expenses'!P22</f>
        <v>0</v>
      </c>
      <c r="Q779" s="1852" t="str">
        <f>'Part VI-Revenues &amp; Expenses'!Q22</f>
        <v/>
      </c>
      <c r="R779" s="1853" t="str">
        <f>'Part VI-Revenues &amp; Expenses'!R22</f>
        <v/>
      </c>
      <c r="S779" s="1852">
        <f>'Part VI-Revenues &amp; Expenses'!S22</f>
        <v>0</v>
      </c>
      <c r="T779" s="1853">
        <f>'Part VI-Revenues &amp; Expenses'!T22</f>
        <v>0</v>
      </c>
      <c r="U779" s="1775"/>
      <c r="V779" s="1775"/>
      <c r="W779" s="683" t="str">
        <f t="shared" si="4"/>
        <v/>
      </c>
      <c r="X779" s="683" t="str">
        <f t="shared" si="5"/>
        <v/>
      </c>
      <c r="Y779" s="683" t="str">
        <f t="shared" si="6"/>
        <v/>
      </c>
      <c r="Z779" s="683" t="str">
        <f t="shared" si="7"/>
        <v/>
      </c>
      <c r="AA779" s="683" t="str">
        <f t="shared" si="8"/>
        <v/>
      </c>
      <c r="AB779" s="683" t="str">
        <f t="shared" si="9"/>
        <v/>
      </c>
      <c r="AC779" s="683" t="str">
        <f t="shared" si="10"/>
        <v/>
      </c>
      <c r="AD779" s="683" t="str">
        <f t="shared" si="11"/>
        <v/>
      </c>
      <c r="AE779" s="683" t="str">
        <f t="shared" si="12"/>
        <v/>
      </c>
      <c r="AF779" s="683" t="str">
        <f t="shared" si="13"/>
        <v/>
      </c>
      <c r="AG779" s="683" t="str">
        <f t="shared" si="14"/>
        <v/>
      </c>
      <c r="AH779" s="683" t="str">
        <f t="shared" si="15"/>
        <v/>
      </c>
      <c r="AI779" s="683" t="str">
        <f t="shared" si="16"/>
        <v/>
      </c>
      <c r="AJ779" s="683" t="str">
        <f t="shared" si="17"/>
        <v/>
      </c>
      <c r="AK779" s="683" t="str">
        <f t="shared" si="18"/>
        <v/>
      </c>
      <c r="AL779" s="683" t="str">
        <f t="shared" si="19"/>
        <v/>
      </c>
      <c r="AM779" s="683" t="str">
        <f t="shared" si="20"/>
        <v/>
      </c>
      <c r="AN779" s="683" t="str">
        <f t="shared" si="21"/>
        <v/>
      </c>
      <c r="AO779" s="683" t="str">
        <f t="shared" si="22"/>
        <v/>
      </c>
      <c r="AP779" s="683" t="str">
        <f t="shared" si="23"/>
        <v/>
      </c>
      <c r="AQ779" s="683" t="str">
        <f t="shared" si="24"/>
        <v/>
      </c>
      <c r="AR779" s="683" t="str">
        <f t="shared" si="25"/>
        <v/>
      </c>
      <c r="AS779" s="683" t="str">
        <f t="shared" si="26"/>
        <v/>
      </c>
      <c r="AT779" s="683" t="str">
        <f t="shared" si="27"/>
        <v/>
      </c>
      <c r="AU779" s="683" t="str">
        <f t="shared" si="28"/>
        <v/>
      </c>
      <c r="AV779" s="683" t="str">
        <f t="shared" si="29"/>
        <v/>
      </c>
      <c r="AW779" s="683" t="str">
        <f t="shared" si="30"/>
        <v/>
      </c>
      <c r="AX779" s="683" t="str">
        <f t="shared" si="31"/>
        <v/>
      </c>
      <c r="AY779" s="683" t="str">
        <f t="shared" si="32"/>
        <v/>
      </c>
      <c r="AZ779" s="683" t="str">
        <f t="shared" si="33"/>
        <v/>
      </c>
      <c r="BA779" s="683" t="str">
        <f t="shared" si="34"/>
        <v/>
      </c>
      <c r="BB779" s="683" t="str">
        <f t="shared" si="35"/>
        <v/>
      </c>
      <c r="BC779" s="683" t="str">
        <f t="shared" si="36"/>
        <v/>
      </c>
      <c r="BD779" s="683" t="str">
        <f t="shared" si="37"/>
        <v/>
      </c>
      <c r="BE779" s="683" t="str">
        <f t="shared" si="38"/>
        <v/>
      </c>
      <c r="BF779" s="683" t="str">
        <f t="shared" si="39"/>
        <v/>
      </c>
      <c r="BG779" s="683" t="str">
        <f t="shared" si="40"/>
        <v/>
      </c>
      <c r="BH779" s="683" t="str">
        <f t="shared" si="41"/>
        <v/>
      </c>
      <c r="BI779" s="683" t="str">
        <f t="shared" si="42"/>
        <v/>
      </c>
      <c r="BJ779" s="683" t="str">
        <f t="shared" si="43"/>
        <v/>
      </c>
      <c r="BK779" s="683" t="str">
        <f t="shared" si="44"/>
        <v/>
      </c>
      <c r="BL779" s="683" t="str">
        <f t="shared" si="45"/>
        <v/>
      </c>
      <c r="BM779" s="683" t="str">
        <f t="shared" si="46"/>
        <v/>
      </c>
      <c r="BN779" s="683" t="str">
        <f t="shared" si="47"/>
        <v/>
      </c>
      <c r="BO779" s="683" t="str">
        <f t="shared" si="48"/>
        <v/>
      </c>
      <c r="BP779" s="683" t="str">
        <f t="shared" si="49"/>
        <v/>
      </c>
      <c r="BQ779" s="683" t="str">
        <f t="shared" si="50"/>
        <v/>
      </c>
      <c r="BR779" s="683" t="str">
        <f t="shared" si="51"/>
        <v/>
      </c>
      <c r="BS779" s="683" t="str">
        <f t="shared" si="52"/>
        <v/>
      </c>
      <c r="BT779" s="683" t="str">
        <f t="shared" si="53"/>
        <v/>
      </c>
      <c r="BU779" s="683" t="str">
        <f t="shared" si="54"/>
        <v/>
      </c>
      <c r="BV779" s="683" t="str">
        <f t="shared" si="55"/>
        <v/>
      </c>
      <c r="BW779" s="683" t="str">
        <f t="shared" si="56"/>
        <v/>
      </c>
      <c r="BX779" s="683" t="str">
        <f t="shared" si="57"/>
        <v/>
      </c>
      <c r="BY779" s="683" t="str">
        <f t="shared" si="58"/>
        <v/>
      </c>
      <c r="BZ779" s="683" t="str">
        <f t="shared" si="59"/>
        <v/>
      </c>
      <c r="CA779" s="683" t="str">
        <f t="shared" si="60"/>
        <v/>
      </c>
      <c r="CB779" s="683" t="str">
        <f t="shared" si="61"/>
        <v/>
      </c>
      <c r="CC779" s="683" t="str">
        <f t="shared" si="62"/>
        <v/>
      </c>
      <c r="CD779" s="683" t="str">
        <f t="shared" si="63"/>
        <v/>
      </c>
      <c r="CE779" s="683" t="str">
        <f t="shared" si="64"/>
        <v/>
      </c>
      <c r="CF779" s="683" t="str">
        <f t="shared" si="65"/>
        <v/>
      </c>
      <c r="CG779" s="683" t="str">
        <f t="shared" si="66"/>
        <v/>
      </c>
      <c r="CH779" s="683" t="str">
        <f t="shared" si="67"/>
        <v/>
      </c>
      <c r="CI779" s="683" t="str">
        <f t="shared" si="68"/>
        <v/>
      </c>
      <c r="CJ779" s="683" t="str">
        <f t="shared" si="69"/>
        <v/>
      </c>
      <c r="CK779" s="683" t="str">
        <f t="shared" si="70"/>
        <v/>
      </c>
      <c r="CL779" s="683" t="str">
        <f t="shared" si="71"/>
        <v/>
      </c>
      <c r="CM779" s="683" t="str">
        <f t="shared" si="72"/>
        <v/>
      </c>
      <c r="CN779" s="683" t="str">
        <f t="shared" si="73"/>
        <v/>
      </c>
      <c r="CO779" s="683" t="str">
        <f t="shared" si="74"/>
        <v/>
      </c>
      <c r="CP779" s="683" t="str">
        <f t="shared" si="75"/>
        <v/>
      </c>
      <c r="CQ779" s="683" t="str">
        <f t="shared" si="76"/>
        <v/>
      </c>
      <c r="CR779" s="683" t="str">
        <f t="shared" si="77"/>
        <v/>
      </c>
      <c r="CS779" s="683" t="str">
        <f t="shared" si="78"/>
        <v/>
      </c>
      <c r="CT779" s="683" t="str">
        <f t="shared" si="79"/>
        <v/>
      </c>
      <c r="CU779" s="683" t="str">
        <f t="shared" si="80"/>
        <v/>
      </c>
      <c r="CV779" s="683" t="str">
        <f t="shared" si="81"/>
        <v/>
      </c>
      <c r="CW779" s="683" t="str">
        <f t="shared" si="82"/>
        <v/>
      </c>
      <c r="CX779" s="683" t="str">
        <f t="shared" si="83"/>
        <v/>
      </c>
      <c r="CY779" s="683" t="str">
        <f t="shared" si="84"/>
        <v/>
      </c>
      <c r="CZ779" s="683" t="str">
        <f t="shared" si="85"/>
        <v/>
      </c>
      <c r="DA779" s="683" t="str">
        <f t="shared" si="86"/>
        <v/>
      </c>
      <c r="DB779" s="683" t="str">
        <f t="shared" si="87"/>
        <v/>
      </c>
      <c r="DC779" s="683" t="str">
        <f t="shared" si="88"/>
        <v/>
      </c>
      <c r="DD779" s="683" t="str">
        <f t="shared" si="89"/>
        <v/>
      </c>
      <c r="DE779" s="683" t="str">
        <f t="shared" si="90"/>
        <v/>
      </c>
      <c r="DF779" s="683" t="str">
        <f t="shared" si="91"/>
        <v/>
      </c>
      <c r="DG779" s="683" t="str">
        <f t="shared" si="92"/>
        <v/>
      </c>
      <c r="DH779" s="683" t="str">
        <f t="shared" si="93"/>
        <v/>
      </c>
      <c r="DI779" s="683" t="str">
        <f t="shared" si="94"/>
        <v/>
      </c>
      <c r="DJ779" s="683" t="str">
        <f t="shared" si="95"/>
        <v/>
      </c>
      <c r="DK779" s="683" t="str">
        <f t="shared" si="96"/>
        <v/>
      </c>
      <c r="DL779" s="683" t="str">
        <f t="shared" si="97"/>
        <v/>
      </c>
      <c r="DM779" s="683" t="str">
        <f t="shared" si="98"/>
        <v/>
      </c>
      <c r="DN779" s="683" t="str">
        <f t="shared" si="99"/>
        <v/>
      </c>
      <c r="DO779" s="683" t="str">
        <f t="shared" si="100"/>
        <v/>
      </c>
      <c r="DP779" s="683" t="str">
        <f t="shared" si="101"/>
        <v/>
      </c>
      <c r="DQ779" s="683" t="str">
        <f t="shared" si="102"/>
        <v/>
      </c>
      <c r="DR779" s="683" t="str">
        <f t="shared" si="103"/>
        <v/>
      </c>
      <c r="DS779" s="683" t="str">
        <f t="shared" si="104"/>
        <v/>
      </c>
      <c r="DT779" s="683" t="str">
        <f t="shared" si="105"/>
        <v/>
      </c>
      <c r="DU779" s="683" t="str">
        <f t="shared" si="106"/>
        <v/>
      </c>
      <c r="DV779" s="683" t="str">
        <f t="shared" si="107"/>
        <v/>
      </c>
      <c r="DW779" s="683" t="str">
        <f t="shared" si="108"/>
        <v/>
      </c>
      <c r="DX779" s="683" t="str">
        <f t="shared" si="109"/>
        <v/>
      </c>
      <c r="DY779" s="683" t="str">
        <f t="shared" si="110"/>
        <v/>
      </c>
      <c r="DZ779" s="683" t="str">
        <f t="shared" si="111"/>
        <v/>
      </c>
      <c r="EA779" s="683" t="str">
        <f t="shared" si="112"/>
        <v/>
      </c>
      <c r="EB779" s="683" t="str">
        <f t="shared" si="113"/>
        <v/>
      </c>
      <c r="EC779" s="683" t="str">
        <f t="shared" si="114"/>
        <v/>
      </c>
      <c r="ED779" s="683" t="str">
        <f t="shared" si="115"/>
        <v/>
      </c>
      <c r="EE779" s="683" t="str">
        <f t="shared" si="116"/>
        <v/>
      </c>
      <c r="EF779" s="683" t="str">
        <f t="shared" si="117"/>
        <v/>
      </c>
      <c r="EG779" s="683" t="str">
        <f t="shared" si="118"/>
        <v/>
      </c>
      <c r="EH779" s="683" t="str">
        <f t="shared" si="119"/>
        <v/>
      </c>
      <c r="EI779" s="683" t="str">
        <f t="shared" si="120"/>
        <v/>
      </c>
      <c r="EJ779" s="683" t="str">
        <f t="shared" si="121"/>
        <v/>
      </c>
      <c r="EK779" s="683" t="str">
        <f t="shared" si="122"/>
        <v/>
      </c>
      <c r="EL779" s="683" t="str">
        <f t="shared" si="123"/>
        <v/>
      </c>
      <c r="EM779" s="683" t="str">
        <f t="shared" si="124"/>
        <v/>
      </c>
      <c r="EN779" s="683" t="str">
        <f t="shared" si="125"/>
        <v/>
      </c>
      <c r="EO779" s="683" t="str">
        <f t="shared" si="126"/>
        <v/>
      </c>
      <c r="EP779" s="683" t="str">
        <f t="shared" si="127"/>
        <v/>
      </c>
      <c r="EQ779" s="683" t="str">
        <f t="shared" si="128"/>
        <v/>
      </c>
      <c r="ER779" s="683" t="str">
        <f t="shared" si="129"/>
        <v/>
      </c>
      <c r="ES779" s="683" t="str">
        <f t="shared" si="130"/>
        <v/>
      </c>
      <c r="ET779" s="683" t="str">
        <f t="shared" si="131"/>
        <v/>
      </c>
      <c r="EU779" s="683" t="str">
        <f t="shared" si="132"/>
        <v/>
      </c>
      <c r="EV779" s="683" t="str">
        <f t="shared" si="133"/>
        <v/>
      </c>
      <c r="EW779" s="1854" t="str">
        <f t="shared" si="134"/>
        <v/>
      </c>
      <c r="EX779" s="1854" t="str">
        <f t="shared" si="135"/>
        <v/>
      </c>
      <c r="EY779" s="1854" t="str">
        <f t="shared" si="136"/>
        <v/>
      </c>
      <c r="EZ779" s="1854" t="str">
        <f t="shared" si="137"/>
        <v/>
      </c>
      <c r="FA779" s="1854" t="str">
        <f t="shared" si="138"/>
        <v/>
      </c>
      <c r="FB779" s="1854" t="str">
        <f t="shared" si="139"/>
        <v/>
      </c>
      <c r="FC779" s="1854" t="str">
        <f t="shared" si="140"/>
        <v/>
      </c>
      <c r="FD779" s="1854" t="str">
        <f t="shared" si="141"/>
        <v/>
      </c>
      <c r="FE779" s="1854" t="str">
        <f t="shared" si="142"/>
        <v/>
      </c>
      <c r="FF779" s="1854" t="str">
        <f t="shared" si="143"/>
        <v/>
      </c>
      <c r="FG779" s="1854" t="str">
        <f t="shared" si="144"/>
        <v/>
      </c>
      <c r="FH779" s="1854" t="str">
        <f t="shared" si="145"/>
        <v/>
      </c>
      <c r="FI779" s="1854" t="str">
        <f t="shared" si="146"/>
        <v/>
      </c>
      <c r="FJ779" s="1854" t="str">
        <f t="shared" si="147"/>
        <v/>
      </c>
      <c r="FK779" s="1854" t="str">
        <f t="shared" si="148"/>
        <v/>
      </c>
      <c r="FL779" s="1854" t="str">
        <f t="shared" si="149"/>
        <v/>
      </c>
      <c r="FM779" s="1854" t="str">
        <f t="shared" si="150"/>
        <v/>
      </c>
      <c r="FN779" s="1854" t="str">
        <f t="shared" si="151"/>
        <v/>
      </c>
      <c r="FO779" s="1854" t="str">
        <f t="shared" si="152"/>
        <v/>
      </c>
      <c r="FP779" s="1854" t="str">
        <f t="shared" si="153"/>
        <v/>
      </c>
      <c r="FQ779" s="1854" t="str">
        <f t="shared" si="154"/>
        <v/>
      </c>
      <c r="FR779" s="1854" t="str">
        <f t="shared" si="155"/>
        <v/>
      </c>
      <c r="FS779" s="1854" t="str">
        <f t="shared" si="156"/>
        <v/>
      </c>
      <c r="FT779" s="1854" t="str">
        <f t="shared" si="157"/>
        <v/>
      </c>
      <c r="FU779" s="1854" t="str">
        <f t="shared" si="158"/>
        <v/>
      </c>
      <c r="FV779" s="1854" t="str">
        <f t="shared" si="159"/>
        <v/>
      </c>
      <c r="FW779" s="1854" t="str">
        <f t="shared" si="160"/>
        <v/>
      </c>
      <c r="FX779" s="1854" t="str">
        <f t="shared" si="161"/>
        <v/>
      </c>
      <c r="FY779" s="1854" t="str">
        <f t="shared" si="162"/>
        <v/>
      </c>
      <c r="FZ779" s="1854" t="str">
        <f t="shared" si="163"/>
        <v/>
      </c>
      <c r="GA779" s="1854" t="str">
        <f t="shared" si="164"/>
        <v/>
      </c>
      <c r="GB779" s="1854" t="str">
        <f t="shared" si="165"/>
        <v/>
      </c>
      <c r="GC779" s="1854" t="str">
        <f t="shared" si="166"/>
        <v/>
      </c>
      <c r="GD779" s="1854" t="str">
        <f t="shared" si="167"/>
        <v/>
      </c>
      <c r="GE779" s="1854" t="str">
        <f t="shared" si="168"/>
        <v/>
      </c>
      <c r="GF779" s="1854" t="str">
        <f t="shared" si="169"/>
        <v/>
      </c>
      <c r="GG779" s="1854" t="str">
        <f t="shared" si="170"/>
        <v/>
      </c>
      <c r="GH779" s="1854" t="str">
        <f t="shared" si="171"/>
        <v/>
      </c>
      <c r="GI779" s="1854" t="str">
        <f t="shared" si="172"/>
        <v/>
      </c>
      <c r="GJ779" s="1854" t="str">
        <f t="shared" si="173"/>
        <v/>
      </c>
      <c r="GK779" s="1854" t="str">
        <f t="shared" si="174"/>
        <v/>
      </c>
      <c r="GL779" s="1854" t="str">
        <f t="shared" si="175"/>
        <v/>
      </c>
      <c r="GM779" s="1854" t="str">
        <f t="shared" si="176"/>
        <v/>
      </c>
      <c r="GN779" s="1854" t="str">
        <f t="shared" si="177"/>
        <v/>
      </c>
      <c r="GO779" s="1854" t="str">
        <f t="shared" si="178"/>
        <v/>
      </c>
      <c r="GP779" s="1854" t="str">
        <f t="shared" si="179"/>
        <v/>
      </c>
      <c r="GQ779" s="1854" t="str">
        <f t="shared" si="180"/>
        <v/>
      </c>
      <c r="GR779" s="1854" t="str">
        <f t="shared" si="181"/>
        <v/>
      </c>
      <c r="GS779" s="1854" t="str">
        <f t="shared" si="182"/>
        <v/>
      </c>
      <c r="GT779" s="1854" t="str">
        <f t="shared" si="183"/>
        <v/>
      </c>
      <c r="GU779" s="1854" t="str">
        <f t="shared" si="184"/>
        <v/>
      </c>
      <c r="GV779" s="1854" t="str">
        <f t="shared" si="185"/>
        <v/>
      </c>
      <c r="GW779" s="1854" t="str">
        <f t="shared" si="186"/>
        <v/>
      </c>
      <c r="GX779" s="1854" t="str">
        <f t="shared" si="187"/>
        <v/>
      </c>
      <c r="GY779" s="1854" t="str">
        <f t="shared" si="188"/>
        <v/>
      </c>
      <c r="GZ779" s="1854" t="str">
        <f t="shared" si="189"/>
        <v/>
      </c>
      <c r="HA779" s="1854" t="str">
        <f t="shared" si="190"/>
        <v/>
      </c>
      <c r="HB779" s="1854" t="str">
        <f t="shared" si="191"/>
        <v/>
      </c>
      <c r="HC779" s="1854" t="str">
        <f t="shared" si="192"/>
        <v/>
      </c>
      <c r="HD779" s="1854" t="str">
        <f t="shared" si="193"/>
        <v/>
      </c>
      <c r="HE779" s="1854" t="str">
        <f t="shared" si="194"/>
        <v/>
      </c>
      <c r="HF779" s="1854" t="str">
        <f t="shared" si="195"/>
        <v/>
      </c>
      <c r="HG779" s="1854" t="str">
        <f t="shared" si="196"/>
        <v/>
      </c>
      <c r="HH779" s="1854" t="str">
        <f t="shared" si="197"/>
        <v/>
      </c>
      <c r="HI779" s="1854" t="str">
        <f t="shared" si="198"/>
        <v/>
      </c>
      <c r="HJ779" s="1854" t="str">
        <f t="shared" si="199"/>
        <v/>
      </c>
      <c r="HK779" s="1854" t="str">
        <f t="shared" si="200"/>
        <v/>
      </c>
      <c r="HL779" s="1854" t="str">
        <f t="shared" si="201"/>
        <v/>
      </c>
      <c r="HM779" s="1854" t="str">
        <f t="shared" si="202"/>
        <v/>
      </c>
      <c r="HN779" s="1854" t="str">
        <f t="shared" si="203"/>
        <v/>
      </c>
      <c r="HO779" s="1854" t="str">
        <f t="shared" si="204"/>
        <v/>
      </c>
      <c r="HP779" s="1854" t="str">
        <f t="shared" si="205"/>
        <v/>
      </c>
      <c r="HQ779" s="1854" t="str">
        <f t="shared" si="206"/>
        <v/>
      </c>
      <c r="HR779" s="1854" t="str">
        <f t="shared" si="207"/>
        <v/>
      </c>
      <c r="HS779" s="1854" t="str">
        <f t="shared" si="208"/>
        <v/>
      </c>
      <c r="HT779" s="1854" t="str">
        <f t="shared" si="209"/>
        <v/>
      </c>
      <c r="HU779" s="1854" t="str">
        <f t="shared" si="210"/>
        <v/>
      </c>
      <c r="HV779" s="1854" t="str">
        <f t="shared" si="211"/>
        <v/>
      </c>
      <c r="HW779" s="1854" t="str">
        <f t="shared" si="212"/>
        <v/>
      </c>
      <c r="HX779" s="1854" t="str">
        <f t="shared" si="213"/>
        <v/>
      </c>
      <c r="HY779" s="1854" t="str">
        <f t="shared" si="214"/>
        <v/>
      </c>
      <c r="HZ779" s="1854" t="str">
        <f t="shared" si="215"/>
        <v/>
      </c>
      <c r="IA779" s="1854" t="str">
        <f t="shared" si="216"/>
        <v/>
      </c>
      <c r="IB779" s="1854" t="str">
        <f t="shared" si="217"/>
        <v/>
      </c>
      <c r="IC779" s="1854" t="str">
        <f t="shared" si="218"/>
        <v/>
      </c>
      <c r="ID779" s="1826" t="str">
        <f t="shared" si="219"/>
        <v/>
      </c>
      <c r="IE779" s="1826" t="str">
        <f t="shared" si="220"/>
        <v/>
      </c>
      <c r="IF779" s="1826" t="str">
        <f t="shared" si="221"/>
        <v/>
      </c>
      <c r="IG779" s="1826" t="str">
        <f t="shared" si="222"/>
        <v/>
      </c>
      <c r="IH779" s="1826" t="str">
        <f t="shared" si="223"/>
        <v/>
      </c>
      <c r="II779" s="683" t="str">
        <f t="shared" si="224"/>
        <v/>
      </c>
      <c r="IJ779" s="683" t="str">
        <f t="shared" si="225"/>
        <v/>
      </c>
      <c r="IK779" s="683" t="str">
        <f t="shared" si="226"/>
        <v/>
      </c>
      <c r="IL779" s="683" t="str">
        <f t="shared" si="227"/>
        <v/>
      </c>
      <c r="IM779" s="683" t="str">
        <f t="shared" si="228"/>
        <v/>
      </c>
      <c r="IN779" s="683" t="str">
        <f t="shared" si="229"/>
        <v/>
      </c>
      <c r="IO779" s="683" t="str">
        <f t="shared" si="230"/>
        <v/>
      </c>
      <c r="IP779" s="683" t="str">
        <f t="shared" si="231"/>
        <v/>
      </c>
      <c r="IQ779" s="683" t="str">
        <f t="shared" si="232"/>
        <v/>
      </c>
      <c r="IR779" s="683" t="str">
        <f t="shared" si="233"/>
        <v/>
      </c>
      <c r="IS779" s="683" t="str">
        <f t="shared" si="234"/>
        <v/>
      </c>
      <c r="IT779" s="683" t="str">
        <f t="shared" si="235"/>
        <v/>
      </c>
      <c r="IU779" s="683" t="str">
        <f t="shared" si="236"/>
        <v/>
      </c>
      <c r="IV779" s="683" t="str">
        <f t="shared" si="237"/>
        <v/>
      </c>
      <c r="IW779" s="683" t="str">
        <f t="shared" si="238"/>
        <v/>
      </c>
      <c r="IX779" s="683" t="str">
        <f t="shared" si="239"/>
        <v/>
      </c>
      <c r="IY779" s="683" t="str">
        <f t="shared" si="240"/>
        <v/>
      </c>
      <c r="IZ779" s="683" t="str">
        <f t="shared" si="241"/>
        <v/>
      </c>
      <c r="JA779" s="683" t="str">
        <f t="shared" si="242"/>
        <v/>
      </c>
      <c r="JB779" s="683" t="str">
        <f t="shared" si="243"/>
        <v/>
      </c>
      <c r="JC779" s="1824">
        <f t="shared" si="244"/>
        <v>0</v>
      </c>
      <c r="JD779" s="1824">
        <f t="shared" si="245"/>
        <v>0</v>
      </c>
      <c r="JE779" s="1824">
        <f t="shared" si="246"/>
        <v>0</v>
      </c>
      <c r="JF779" s="1824">
        <f t="shared" si="247"/>
        <v>0</v>
      </c>
      <c r="JG779" s="1824">
        <f t="shared" si="248"/>
        <v>0</v>
      </c>
      <c r="JH779" s="1824">
        <f t="shared" si="249"/>
        <v>0</v>
      </c>
      <c r="JI779" s="1824">
        <f t="shared" si="250"/>
        <v>0</v>
      </c>
      <c r="JJ779" s="1824">
        <f t="shared" si="251"/>
        <v>0</v>
      </c>
      <c r="JK779" s="1824">
        <f t="shared" si="252"/>
        <v>0</v>
      </c>
      <c r="JL779" s="1824">
        <f t="shared" si="253"/>
        <v>0</v>
      </c>
      <c r="JM779" s="1824">
        <f t="shared" si="254"/>
        <v>0</v>
      </c>
      <c r="JN779" s="1824">
        <f t="shared" si="255"/>
        <v>0</v>
      </c>
      <c r="JO779" s="1824">
        <f t="shared" si="256"/>
        <v>0</v>
      </c>
      <c r="JP779" s="1824">
        <f t="shared" si="257"/>
        <v>0</v>
      </c>
      <c r="JQ779" s="1824">
        <f t="shared" si="258"/>
        <v>0</v>
      </c>
    </row>
    <row r="780" spans="1:277" ht="12" customHeight="1">
      <c r="A780" s="1837" t="str">
        <f t="shared" si="1"/>
        <v/>
      </c>
      <c r="B780" s="1846" t="str">
        <f>'Part VI-Revenues &amp; Expenses'!B23</f>
        <v>&lt;&lt;Select&gt;&gt;</v>
      </c>
      <c r="C780" s="1847">
        <f>'Part VI-Revenues &amp; Expenses'!C23</f>
        <v>0</v>
      </c>
      <c r="D780" s="1848">
        <f>'Part VI-Revenues &amp; Expenses'!D23</f>
        <v>0</v>
      </c>
      <c r="E780" s="1849">
        <f>'Part VI-Revenues &amp; Expenses'!E23</f>
        <v>0</v>
      </c>
      <c r="F780" s="1849">
        <f>'Part VI-Revenues &amp; Expenses'!F23</f>
        <v>0</v>
      </c>
      <c r="G780" s="1849">
        <f>'Part VI-Revenues &amp; Expenses'!G23</f>
        <v>0</v>
      </c>
      <c r="H780" s="1849">
        <f>'Part VI-Revenues &amp; Expenses'!H23</f>
        <v>0</v>
      </c>
      <c r="I780" s="1849">
        <f>'Part VI-Revenues &amp; Expenses'!I23</f>
        <v>0</v>
      </c>
      <c r="J780" s="1850">
        <f>'Part VI-Revenues &amp; Expenses'!J23</f>
        <v>0</v>
      </c>
      <c r="K780" s="1851">
        <f t="shared" si="2"/>
        <v>0</v>
      </c>
      <c r="L780" s="1851">
        <f t="shared" si="3"/>
        <v>0</v>
      </c>
      <c r="M780" s="1725">
        <f>'Part VI-Revenues &amp; Expenses'!M23</f>
        <v>0</v>
      </c>
      <c r="N780" s="1725">
        <f>'Part VI-Revenues &amp; Expenses'!N23</f>
        <v>0</v>
      </c>
      <c r="O780" s="1725">
        <f>'Part VI-Revenues &amp; Expenses'!O23</f>
        <v>0</v>
      </c>
      <c r="P780" s="1831">
        <f>'Part VI-Revenues &amp; Expenses'!P23</f>
        <v>0</v>
      </c>
      <c r="Q780" s="1852" t="str">
        <f>'Part VI-Revenues &amp; Expenses'!Q23</f>
        <v/>
      </c>
      <c r="R780" s="1853" t="str">
        <f>'Part VI-Revenues &amp; Expenses'!R23</f>
        <v/>
      </c>
      <c r="S780" s="1852">
        <f>'Part VI-Revenues &amp; Expenses'!S23</f>
        <v>0</v>
      </c>
      <c r="T780" s="1853">
        <f>'Part VI-Revenues &amp; Expenses'!T23</f>
        <v>0</v>
      </c>
      <c r="U780" s="1775"/>
      <c r="V780" s="1775"/>
      <c r="W780" s="683" t="str">
        <f t="shared" si="4"/>
        <v/>
      </c>
      <c r="X780" s="683" t="str">
        <f t="shared" si="5"/>
        <v/>
      </c>
      <c r="Y780" s="683" t="str">
        <f t="shared" si="6"/>
        <v/>
      </c>
      <c r="Z780" s="683" t="str">
        <f t="shared" si="7"/>
        <v/>
      </c>
      <c r="AA780" s="683" t="str">
        <f t="shared" si="8"/>
        <v/>
      </c>
      <c r="AB780" s="683" t="str">
        <f t="shared" si="9"/>
        <v/>
      </c>
      <c r="AC780" s="683" t="str">
        <f t="shared" si="10"/>
        <v/>
      </c>
      <c r="AD780" s="683" t="str">
        <f t="shared" si="11"/>
        <v/>
      </c>
      <c r="AE780" s="683" t="str">
        <f t="shared" si="12"/>
        <v/>
      </c>
      <c r="AF780" s="683" t="str">
        <f t="shared" si="13"/>
        <v/>
      </c>
      <c r="AG780" s="683" t="str">
        <f t="shared" si="14"/>
        <v/>
      </c>
      <c r="AH780" s="683" t="str">
        <f t="shared" si="15"/>
        <v/>
      </c>
      <c r="AI780" s="683" t="str">
        <f t="shared" si="16"/>
        <v/>
      </c>
      <c r="AJ780" s="683" t="str">
        <f t="shared" si="17"/>
        <v/>
      </c>
      <c r="AK780" s="683" t="str">
        <f t="shared" si="18"/>
        <v/>
      </c>
      <c r="AL780" s="683" t="str">
        <f t="shared" si="19"/>
        <v/>
      </c>
      <c r="AM780" s="683" t="str">
        <f t="shared" si="20"/>
        <v/>
      </c>
      <c r="AN780" s="683" t="str">
        <f t="shared" si="21"/>
        <v/>
      </c>
      <c r="AO780" s="683" t="str">
        <f t="shared" si="22"/>
        <v/>
      </c>
      <c r="AP780" s="683" t="str">
        <f t="shared" si="23"/>
        <v/>
      </c>
      <c r="AQ780" s="683" t="str">
        <f t="shared" si="24"/>
        <v/>
      </c>
      <c r="AR780" s="683" t="str">
        <f t="shared" si="25"/>
        <v/>
      </c>
      <c r="AS780" s="683" t="str">
        <f t="shared" si="26"/>
        <v/>
      </c>
      <c r="AT780" s="683" t="str">
        <f t="shared" si="27"/>
        <v/>
      </c>
      <c r="AU780" s="683" t="str">
        <f t="shared" si="28"/>
        <v/>
      </c>
      <c r="AV780" s="683" t="str">
        <f t="shared" si="29"/>
        <v/>
      </c>
      <c r="AW780" s="683" t="str">
        <f t="shared" si="30"/>
        <v/>
      </c>
      <c r="AX780" s="683" t="str">
        <f t="shared" si="31"/>
        <v/>
      </c>
      <c r="AY780" s="683" t="str">
        <f t="shared" si="32"/>
        <v/>
      </c>
      <c r="AZ780" s="683" t="str">
        <f t="shared" si="33"/>
        <v/>
      </c>
      <c r="BA780" s="683" t="str">
        <f t="shared" si="34"/>
        <v/>
      </c>
      <c r="BB780" s="683" t="str">
        <f t="shared" si="35"/>
        <v/>
      </c>
      <c r="BC780" s="683" t="str">
        <f t="shared" si="36"/>
        <v/>
      </c>
      <c r="BD780" s="683" t="str">
        <f t="shared" si="37"/>
        <v/>
      </c>
      <c r="BE780" s="683" t="str">
        <f t="shared" si="38"/>
        <v/>
      </c>
      <c r="BF780" s="683" t="str">
        <f t="shared" si="39"/>
        <v/>
      </c>
      <c r="BG780" s="683" t="str">
        <f t="shared" si="40"/>
        <v/>
      </c>
      <c r="BH780" s="683" t="str">
        <f t="shared" si="41"/>
        <v/>
      </c>
      <c r="BI780" s="683" t="str">
        <f t="shared" si="42"/>
        <v/>
      </c>
      <c r="BJ780" s="683" t="str">
        <f t="shared" si="43"/>
        <v/>
      </c>
      <c r="BK780" s="683" t="str">
        <f t="shared" si="44"/>
        <v/>
      </c>
      <c r="BL780" s="683" t="str">
        <f t="shared" si="45"/>
        <v/>
      </c>
      <c r="BM780" s="683" t="str">
        <f t="shared" si="46"/>
        <v/>
      </c>
      <c r="BN780" s="683" t="str">
        <f t="shared" si="47"/>
        <v/>
      </c>
      <c r="BO780" s="683" t="str">
        <f t="shared" si="48"/>
        <v/>
      </c>
      <c r="BP780" s="683" t="str">
        <f t="shared" si="49"/>
        <v/>
      </c>
      <c r="BQ780" s="683" t="str">
        <f t="shared" si="50"/>
        <v/>
      </c>
      <c r="BR780" s="683" t="str">
        <f t="shared" si="51"/>
        <v/>
      </c>
      <c r="BS780" s="683" t="str">
        <f t="shared" si="52"/>
        <v/>
      </c>
      <c r="BT780" s="683" t="str">
        <f t="shared" si="53"/>
        <v/>
      </c>
      <c r="BU780" s="683" t="str">
        <f t="shared" si="54"/>
        <v/>
      </c>
      <c r="BV780" s="683" t="str">
        <f t="shared" si="55"/>
        <v/>
      </c>
      <c r="BW780" s="683" t="str">
        <f t="shared" si="56"/>
        <v/>
      </c>
      <c r="BX780" s="683" t="str">
        <f t="shared" si="57"/>
        <v/>
      </c>
      <c r="BY780" s="683" t="str">
        <f t="shared" si="58"/>
        <v/>
      </c>
      <c r="BZ780" s="683" t="str">
        <f t="shared" si="59"/>
        <v/>
      </c>
      <c r="CA780" s="683" t="str">
        <f t="shared" si="60"/>
        <v/>
      </c>
      <c r="CB780" s="683" t="str">
        <f t="shared" si="61"/>
        <v/>
      </c>
      <c r="CC780" s="683" t="str">
        <f t="shared" si="62"/>
        <v/>
      </c>
      <c r="CD780" s="683" t="str">
        <f t="shared" si="63"/>
        <v/>
      </c>
      <c r="CE780" s="683" t="str">
        <f t="shared" si="64"/>
        <v/>
      </c>
      <c r="CF780" s="683" t="str">
        <f t="shared" si="65"/>
        <v/>
      </c>
      <c r="CG780" s="683" t="str">
        <f t="shared" si="66"/>
        <v/>
      </c>
      <c r="CH780" s="683" t="str">
        <f t="shared" si="67"/>
        <v/>
      </c>
      <c r="CI780" s="683" t="str">
        <f t="shared" si="68"/>
        <v/>
      </c>
      <c r="CJ780" s="683" t="str">
        <f t="shared" si="69"/>
        <v/>
      </c>
      <c r="CK780" s="683" t="str">
        <f t="shared" si="70"/>
        <v/>
      </c>
      <c r="CL780" s="683" t="str">
        <f t="shared" si="71"/>
        <v/>
      </c>
      <c r="CM780" s="683" t="str">
        <f t="shared" si="72"/>
        <v/>
      </c>
      <c r="CN780" s="683" t="str">
        <f t="shared" si="73"/>
        <v/>
      </c>
      <c r="CO780" s="683" t="str">
        <f t="shared" si="74"/>
        <v/>
      </c>
      <c r="CP780" s="683" t="str">
        <f t="shared" si="75"/>
        <v/>
      </c>
      <c r="CQ780" s="683" t="str">
        <f t="shared" si="76"/>
        <v/>
      </c>
      <c r="CR780" s="683" t="str">
        <f t="shared" si="77"/>
        <v/>
      </c>
      <c r="CS780" s="683" t="str">
        <f t="shared" si="78"/>
        <v/>
      </c>
      <c r="CT780" s="683" t="str">
        <f t="shared" si="79"/>
        <v/>
      </c>
      <c r="CU780" s="683" t="str">
        <f t="shared" si="80"/>
        <v/>
      </c>
      <c r="CV780" s="683" t="str">
        <f t="shared" si="81"/>
        <v/>
      </c>
      <c r="CW780" s="683" t="str">
        <f t="shared" si="82"/>
        <v/>
      </c>
      <c r="CX780" s="683" t="str">
        <f t="shared" si="83"/>
        <v/>
      </c>
      <c r="CY780" s="683" t="str">
        <f t="shared" si="84"/>
        <v/>
      </c>
      <c r="CZ780" s="683" t="str">
        <f t="shared" si="85"/>
        <v/>
      </c>
      <c r="DA780" s="683" t="str">
        <f t="shared" si="86"/>
        <v/>
      </c>
      <c r="DB780" s="683" t="str">
        <f t="shared" si="87"/>
        <v/>
      </c>
      <c r="DC780" s="683" t="str">
        <f t="shared" si="88"/>
        <v/>
      </c>
      <c r="DD780" s="683" t="str">
        <f t="shared" si="89"/>
        <v/>
      </c>
      <c r="DE780" s="683" t="str">
        <f t="shared" si="90"/>
        <v/>
      </c>
      <c r="DF780" s="683" t="str">
        <f t="shared" si="91"/>
        <v/>
      </c>
      <c r="DG780" s="683" t="str">
        <f t="shared" si="92"/>
        <v/>
      </c>
      <c r="DH780" s="683" t="str">
        <f t="shared" si="93"/>
        <v/>
      </c>
      <c r="DI780" s="683" t="str">
        <f t="shared" si="94"/>
        <v/>
      </c>
      <c r="DJ780" s="683" t="str">
        <f t="shared" si="95"/>
        <v/>
      </c>
      <c r="DK780" s="683" t="str">
        <f t="shared" si="96"/>
        <v/>
      </c>
      <c r="DL780" s="683" t="str">
        <f t="shared" si="97"/>
        <v/>
      </c>
      <c r="DM780" s="683" t="str">
        <f t="shared" si="98"/>
        <v/>
      </c>
      <c r="DN780" s="683" t="str">
        <f t="shared" si="99"/>
        <v/>
      </c>
      <c r="DO780" s="683" t="str">
        <f t="shared" si="100"/>
        <v/>
      </c>
      <c r="DP780" s="683" t="str">
        <f t="shared" si="101"/>
        <v/>
      </c>
      <c r="DQ780" s="683" t="str">
        <f t="shared" si="102"/>
        <v/>
      </c>
      <c r="DR780" s="683" t="str">
        <f t="shared" si="103"/>
        <v/>
      </c>
      <c r="DS780" s="683" t="str">
        <f t="shared" si="104"/>
        <v/>
      </c>
      <c r="DT780" s="683" t="str">
        <f t="shared" si="105"/>
        <v/>
      </c>
      <c r="DU780" s="683" t="str">
        <f t="shared" si="106"/>
        <v/>
      </c>
      <c r="DV780" s="683" t="str">
        <f t="shared" si="107"/>
        <v/>
      </c>
      <c r="DW780" s="683" t="str">
        <f t="shared" si="108"/>
        <v/>
      </c>
      <c r="DX780" s="683" t="str">
        <f t="shared" si="109"/>
        <v/>
      </c>
      <c r="DY780" s="683" t="str">
        <f t="shared" si="110"/>
        <v/>
      </c>
      <c r="DZ780" s="683" t="str">
        <f t="shared" si="111"/>
        <v/>
      </c>
      <c r="EA780" s="683" t="str">
        <f t="shared" si="112"/>
        <v/>
      </c>
      <c r="EB780" s="683" t="str">
        <f t="shared" si="113"/>
        <v/>
      </c>
      <c r="EC780" s="683" t="str">
        <f t="shared" si="114"/>
        <v/>
      </c>
      <c r="ED780" s="683" t="str">
        <f t="shared" si="115"/>
        <v/>
      </c>
      <c r="EE780" s="683" t="str">
        <f t="shared" si="116"/>
        <v/>
      </c>
      <c r="EF780" s="683" t="str">
        <f t="shared" si="117"/>
        <v/>
      </c>
      <c r="EG780" s="683" t="str">
        <f t="shared" si="118"/>
        <v/>
      </c>
      <c r="EH780" s="683" t="str">
        <f t="shared" si="119"/>
        <v/>
      </c>
      <c r="EI780" s="683" t="str">
        <f t="shared" si="120"/>
        <v/>
      </c>
      <c r="EJ780" s="683" t="str">
        <f t="shared" si="121"/>
        <v/>
      </c>
      <c r="EK780" s="683" t="str">
        <f t="shared" si="122"/>
        <v/>
      </c>
      <c r="EL780" s="683" t="str">
        <f t="shared" si="123"/>
        <v/>
      </c>
      <c r="EM780" s="683" t="str">
        <f t="shared" si="124"/>
        <v/>
      </c>
      <c r="EN780" s="683" t="str">
        <f t="shared" si="125"/>
        <v/>
      </c>
      <c r="EO780" s="683" t="str">
        <f t="shared" si="126"/>
        <v/>
      </c>
      <c r="EP780" s="683" t="str">
        <f t="shared" si="127"/>
        <v/>
      </c>
      <c r="EQ780" s="683" t="str">
        <f t="shared" si="128"/>
        <v/>
      </c>
      <c r="ER780" s="683" t="str">
        <f t="shared" si="129"/>
        <v/>
      </c>
      <c r="ES780" s="683" t="str">
        <f t="shared" si="130"/>
        <v/>
      </c>
      <c r="ET780" s="683" t="str">
        <f t="shared" si="131"/>
        <v/>
      </c>
      <c r="EU780" s="683" t="str">
        <f t="shared" si="132"/>
        <v/>
      </c>
      <c r="EV780" s="683" t="str">
        <f t="shared" si="133"/>
        <v/>
      </c>
      <c r="EW780" s="1854" t="str">
        <f t="shared" si="134"/>
        <v/>
      </c>
      <c r="EX780" s="1854" t="str">
        <f t="shared" si="135"/>
        <v/>
      </c>
      <c r="EY780" s="1854" t="str">
        <f t="shared" si="136"/>
        <v/>
      </c>
      <c r="EZ780" s="1854" t="str">
        <f t="shared" si="137"/>
        <v/>
      </c>
      <c r="FA780" s="1854" t="str">
        <f t="shared" si="138"/>
        <v/>
      </c>
      <c r="FB780" s="1854" t="str">
        <f t="shared" si="139"/>
        <v/>
      </c>
      <c r="FC780" s="1854" t="str">
        <f t="shared" si="140"/>
        <v/>
      </c>
      <c r="FD780" s="1854" t="str">
        <f t="shared" si="141"/>
        <v/>
      </c>
      <c r="FE780" s="1854" t="str">
        <f t="shared" si="142"/>
        <v/>
      </c>
      <c r="FF780" s="1854" t="str">
        <f t="shared" si="143"/>
        <v/>
      </c>
      <c r="FG780" s="1854" t="str">
        <f t="shared" si="144"/>
        <v/>
      </c>
      <c r="FH780" s="1854" t="str">
        <f t="shared" si="145"/>
        <v/>
      </c>
      <c r="FI780" s="1854" t="str">
        <f t="shared" si="146"/>
        <v/>
      </c>
      <c r="FJ780" s="1854" t="str">
        <f t="shared" si="147"/>
        <v/>
      </c>
      <c r="FK780" s="1854" t="str">
        <f t="shared" si="148"/>
        <v/>
      </c>
      <c r="FL780" s="1854" t="str">
        <f t="shared" si="149"/>
        <v/>
      </c>
      <c r="FM780" s="1854" t="str">
        <f t="shared" si="150"/>
        <v/>
      </c>
      <c r="FN780" s="1854" t="str">
        <f t="shared" si="151"/>
        <v/>
      </c>
      <c r="FO780" s="1854" t="str">
        <f t="shared" si="152"/>
        <v/>
      </c>
      <c r="FP780" s="1854" t="str">
        <f t="shared" si="153"/>
        <v/>
      </c>
      <c r="FQ780" s="1854" t="str">
        <f t="shared" si="154"/>
        <v/>
      </c>
      <c r="FR780" s="1854" t="str">
        <f t="shared" si="155"/>
        <v/>
      </c>
      <c r="FS780" s="1854" t="str">
        <f t="shared" si="156"/>
        <v/>
      </c>
      <c r="FT780" s="1854" t="str">
        <f t="shared" si="157"/>
        <v/>
      </c>
      <c r="FU780" s="1854" t="str">
        <f t="shared" si="158"/>
        <v/>
      </c>
      <c r="FV780" s="1854" t="str">
        <f t="shared" si="159"/>
        <v/>
      </c>
      <c r="FW780" s="1854" t="str">
        <f t="shared" si="160"/>
        <v/>
      </c>
      <c r="FX780" s="1854" t="str">
        <f t="shared" si="161"/>
        <v/>
      </c>
      <c r="FY780" s="1854" t="str">
        <f t="shared" si="162"/>
        <v/>
      </c>
      <c r="FZ780" s="1854" t="str">
        <f t="shared" si="163"/>
        <v/>
      </c>
      <c r="GA780" s="1854" t="str">
        <f t="shared" si="164"/>
        <v/>
      </c>
      <c r="GB780" s="1854" t="str">
        <f t="shared" si="165"/>
        <v/>
      </c>
      <c r="GC780" s="1854" t="str">
        <f t="shared" si="166"/>
        <v/>
      </c>
      <c r="GD780" s="1854" t="str">
        <f t="shared" si="167"/>
        <v/>
      </c>
      <c r="GE780" s="1854" t="str">
        <f t="shared" si="168"/>
        <v/>
      </c>
      <c r="GF780" s="1854" t="str">
        <f t="shared" si="169"/>
        <v/>
      </c>
      <c r="GG780" s="1854" t="str">
        <f t="shared" si="170"/>
        <v/>
      </c>
      <c r="GH780" s="1854" t="str">
        <f t="shared" si="171"/>
        <v/>
      </c>
      <c r="GI780" s="1854" t="str">
        <f t="shared" si="172"/>
        <v/>
      </c>
      <c r="GJ780" s="1854" t="str">
        <f t="shared" si="173"/>
        <v/>
      </c>
      <c r="GK780" s="1854" t="str">
        <f t="shared" si="174"/>
        <v/>
      </c>
      <c r="GL780" s="1854" t="str">
        <f t="shared" si="175"/>
        <v/>
      </c>
      <c r="GM780" s="1854" t="str">
        <f t="shared" si="176"/>
        <v/>
      </c>
      <c r="GN780" s="1854" t="str">
        <f t="shared" si="177"/>
        <v/>
      </c>
      <c r="GO780" s="1854" t="str">
        <f t="shared" si="178"/>
        <v/>
      </c>
      <c r="GP780" s="1854" t="str">
        <f t="shared" si="179"/>
        <v/>
      </c>
      <c r="GQ780" s="1854" t="str">
        <f t="shared" si="180"/>
        <v/>
      </c>
      <c r="GR780" s="1854" t="str">
        <f t="shared" si="181"/>
        <v/>
      </c>
      <c r="GS780" s="1854" t="str">
        <f t="shared" si="182"/>
        <v/>
      </c>
      <c r="GT780" s="1854" t="str">
        <f t="shared" si="183"/>
        <v/>
      </c>
      <c r="GU780" s="1854" t="str">
        <f t="shared" si="184"/>
        <v/>
      </c>
      <c r="GV780" s="1854" t="str">
        <f t="shared" si="185"/>
        <v/>
      </c>
      <c r="GW780" s="1854" t="str">
        <f t="shared" si="186"/>
        <v/>
      </c>
      <c r="GX780" s="1854" t="str">
        <f t="shared" si="187"/>
        <v/>
      </c>
      <c r="GY780" s="1854" t="str">
        <f t="shared" si="188"/>
        <v/>
      </c>
      <c r="GZ780" s="1854" t="str">
        <f t="shared" si="189"/>
        <v/>
      </c>
      <c r="HA780" s="1854" t="str">
        <f t="shared" si="190"/>
        <v/>
      </c>
      <c r="HB780" s="1854" t="str">
        <f t="shared" si="191"/>
        <v/>
      </c>
      <c r="HC780" s="1854" t="str">
        <f t="shared" si="192"/>
        <v/>
      </c>
      <c r="HD780" s="1854" t="str">
        <f t="shared" si="193"/>
        <v/>
      </c>
      <c r="HE780" s="1854" t="str">
        <f t="shared" si="194"/>
        <v/>
      </c>
      <c r="HF780" s="1854" t="str">
        <f t="shared" si="195"/>
        <v/>
      </c>
      <c r="HG780" s="1854" t="str">
        <f t="shared" si="196"/>
        <v/>
      </c>
      <c r="HH780" s="1854" t="str">
        <f t="shared" si="197"/>
        <v/>
      </c>
      <c r="HI780" s="1854" t="str">
        <f t="shared" si="198"/>
        <v/>
      </c>
      <c r="HJ780" s="1854" t="str">
        <f t="shared" si="199"/>
        <v/>
      </c>
      <c r="HK780" s="1854" t="str">
        <f t="shared" si="200"/>
        <v/>
      </c>
      <c r="HL780" s="1854" t="str">
        <f t="shared" si="201"/>
        <v/>
      </c>
      <c r="HM780" s="1854" t="str">
        <f t="shared" si="202"/>
        <v/>
      </c>
      <c r="HN780" s="1854" t="str">
        <f t="shared" si="203"/>
        <v/>
      </c>
      <c r="HO780" s="1854" t="str">
        <f t="shared" si="204"/>
        <v/>
      </c>
      <c r="HP780" s="1854" t="str">
        <f t="shared" si="205"/>
        <v/>
      </c>
      <c r="HQ780" s="1854" t="str">
        <f t="shared" si="206"/>
        <v/>
      </c>
      <c r="HR780" s="1854" t="str">
        <f t="shared" si="207"/>
        <v/>
      </c>
      <c r="HS780" s="1854" t="str">
        <f t="shared" si="208"/>
        <v/>
      </c>
      <c r="HT780" s="1854" t="str">
        <f t="shared" si="209"/>
        <v/>
      </c>
      <c r="HU780" s="1854" t="str">
        <f t="shared" si="210"/>
        <v/>
      </c>
      <c r="HV780" s="1854" t="str">
        <f t="shared" si="211"/>
        <v/>
      </c>
      <c r="HW780" s="1854" t="str">
        <f t="shared" si="212"/>
        <v/>
      </c>
      <c r="HX780" s="1854" t="str">
        <f t="shared" si="213"/>
        <v/>
      </c>
      <c r="HY780" s="1854" t="str">
        <f t="shared" si="214"/>
        <v/>
      </c>
      <c r="HZ780" s="1854" t="str">
        <f t="shared" si="215"/>
        <v/>
      </c>
      <c r="IA780" s="1854" t="str">
        <f t="shared" si="216"/>
        <v/>
      </c>
      <c r="IB780" s="1854" t="str">
        <f t="shared" si="217"/>
        <v/>
      </c>
      <c r="IC780" s="1854" t="str">
        <f t="shared" si="218"/>
        <v/>
      </c>
      <c r="ID780" s="1826" t="str">
        <f t="shared" si="219"/>
        <v/>
      </c>
      <c r="IE780" s="1826" t="str">
        <f t="shared" si="220"/>
        <v/>
      </c>
      <c r="IF780" s="1826" t="str">
        <f t="shared" si="221"/>
        <v/>
      </c>
      <c r="IG780" s="1826" t="str">
        <f t="shared" si="222"/>
        <v/>
      </c>
      <c r="IH780" s="1826" t="str">
        <f t="shared" si="223"/>
        <v/>
      </c>
      <c r="II780" s="683" t="str">
        <f t="shared" si="224"/>
        <v/>
      </c>
      <c r="IJ780" s="683" t="str">
        <f t="shared" si="225"/>
        <v/>
      </c>
      <c r="IK780" s="683" t="str">
        <f t="shared" si="226"/>
        <v/>
      </c>
      <c r="IL780" s="683" t="str">
        <f t="shared" si="227"/>
        <v/>
      </c>
      <c r="IM780" s="683" t="str">
        <f t="shared" si="228"/>
        <v/>
      </c>
      <c r="IN780" s="683" t="str">
        <f t="shared" si="229"/>
        <v/>
      </c>
      <c r="IO780" s="683" t="str">
        <f t="shared" si="230"/>
        <v/>
      </c>
      <c r="IP780" s="683" t="str">
        <f t="shared" si="231"/>
        <v/>
      </c>
      <c r="IQ780" s="683" t="str">
        <f t="shared" si="232"/>
        <v/>
      </c>
      <c r="IR780" s="683" t="str">
        <f t="shared" si="233"/>
        <v/>
      </c>
      <c r="IS780" s="683" t="str">
        <f t="shared" si="234"/>
        <v/>
      </c>
      <c r="IT780" s="683" t="str">
        <f t="shared" si="235"/>
        <v/>
      </c>
      <c r="IU780" s="683" t="str">
        <f t="shared" si="236"/>
        <v/>
      </c>
      <c r="IV780" s="683" t="str">
        <f t="shared" si="237"/>
        <v/>
      </c>
      <c r="IW780" s="683" t="str">
        <f t="shared" si="238"/>
        <v/>
      </c>
      <c r="IX780" s="683" t="str">
        <f t="shared" si="239"/>
        <v/>
      </c>
      <c r="IY780" s="683" t="str">
        <f t="shared" si="240"/>
        <v/>
      </c>
      <c r="IZ780" s="683" t="str">
        <f t="shared" si="241"/>
        <v/>
      </c>
      <c r="JA780" s="683" t="str">
        <f t="shared" si="242"/>
        <v/>
      </c>
      <c r="JB780" s="683" t="str">
        <f t="shared" si="243"/>
        <v/>
      </c>
      <c r="JC780" s="1824">
        <f t="shared" si="244"/>
        <v>0</v>
      </c>
      <c r="JD780" s="1824">
        <f t="shared" si="245"/>
        <v>0</v>
      </c>
      <c r="JE780" s="1824">
        <f t="shared" si="246"/>
        <v>0</v>
      </c>
      <c r="JF780" s="1824">
        <f t="shared" si="247"/>
        <v>0</v>
      </c>
      <c r="JG780" s="1824">
        <f t="shared" si="248"/>
        <v>0</v>
      </c>
      <c r="JH780" s="1824">
        <f t="shared" si="249"/>
        <v>0</v>
      </c>
      <c r="JI780" s="1824">
        <f t="shared" si="250"/>
        <v>0</v>
      </c>
      <c r="JJ780" s="1824">
        <f t="shared" si="251"/>
        <v>0</v>
      </c>
      <c r="JK780" s="1824">
        <f t="shared" si="252"/>
        <v>0</v>
      </c>
      <c r="JL780" s="1824">
        <f t="shared" si="253"/>
        <v>0</v>
      </c>
      <c r="JM780" s="1824">
        <f t="shared" si="254"/>
        <v>0</v>
      </c>
      <c r="JN780" s="1824">
        <f t="shared" si="255"/>
        <v>0</v>
      </c>
      <c r="JO780" s="1824">
        <f t="shared" si="256"/>
        <v>0</v>
      </c>
      <c r="JP780" s="1824">
        <f t="shared" si="257"/>
        <v>0</v>
      </c>
      <c r="JQ780" s="1824">
        <f t="shared" si="258"/>
        <v>0</v>
      </c>
    </row>
    <row r="781" spans="1:277" ht="12" customHeight="1">
      <c r="A781" s="1837" t="str">
        <f t="shared" si="1"/>
        <v/>
      </c>
      <c r="B781" s="1846" t="str">
        <f>'Part VI-Revenues &amp; Expenses'!B24</f>
        <v>&lt;&lt;Select&gt;&gt;</v>
      </c>
      <c r="C781" s="1847">
        <f>'Part VI-Revenues &amp; Expenses'!C24</f>
        <v>0</v>
      </c>
      <c r="D781" s="1848">
        <f>'Part VI-Revenues &amp; Expenses'!D24</f>
        <v>0</v>
      </c>
      <c r="E781" s="1849">
        <f>'Part VI-Revenues &amp; Expenses'!E24</f>
        <v>0</v>
      </c>
      <c r="F781" s="1849">
        <f>'Part VI-Revenues &amp; Expenses'!F24</f>
        <v>0</v>
      </c>
      <c r="G781" s="1849">
        <f>'Part VI-Revenues &amp; Expenses'!G24</f>
        <v>0</v>
      </c>
      <c r="H781" s="1849">
        <f>'Part VI-Revenues &amp; Expenses'!H24</f>
        <v>0</v>
      </c>
      <c r="I781" s="1849">
        <f>'Part VI-Revenues &amp; Expenses'!I24</f>
        <v>0</v>
      </c>
      <c r="J781" s="1850">
        <f>'Part VI-Revenues &amp; Expenses'!J24</f>
        <v>0</v>
      </c>
      <c r="K781" s="1851">
        <f t="shared" si="2"/>
        <v>0</v>
      </c>
      <c r="L781" s="1851">
        <f t="shared" si="3"/>
        <v>0</v>
      </c>
      <c r="M781" s="1725">
        <f>'Part VI-Revenues &amp; Expenses'!M24</f>
        <v>0</v>
      </c>
      <c r="N781" s="1725">
        <f>'Part VI-Revenues &amp; Expenses'!N24</f>
        <v>0</v>
      </c>
      <c r="O781" s="1725">
        <f>'Part VI-Revenues &amp; Expenses'!O24</f>
        <v>0</v>
      </c>
      <c r="P781" s="1831">
        <f>'Part VI-Revenues &amp; Expenses'!P24</f>
        <v>0</v>
      </c>
      <c r="Q781" s="1852" t="str">
        <f>'Part VI-Revenues &amp; Expenses'!Q24</f>
        <v/>
      </c>
      <c r="R781" s="1853" t="str">
        <f>'Part VI-Revenues &amp; Expenses'!R24</f>
        <v/>
      </c>
      <c r="S781" s="1852">
        <f>'Part VI-Revenues &amp; Expenses'!S24</f>
        <v>0</v>
      </c>
      <c r="T781" s="1853">
        <f>'Part VI-Revenues &amp; Expenses'!T24</f>
        <v>0</v>
      </c>
      <c r="U781" s="1775"/>
      <c r="V781" s="1775"/>
      <c r="W781" s="683" t="str">
        <f t="shared" si="4"/>
        <v/>
      </c>
      <c r="X781" s="683" t="str">
        <f t="shared" si="5"/>
        <v/>
      </c>
      <c r="Y781" s="683" t="str">
        <f t="shared" si="6"/>
        <v/>
      </c>
      <c r="Z781" s="683" t="str">
        <f t="shared" si="7"/>
        <v/>
      </c>
      <c r="AA781" s="683" t="str">
        <f t="shared" si="8"/>
        <v/>
      </c>
      <c r="AB781" s="683" t="str">
        <f t="shared" si="9"/>
        <v/>
      </c>
      <c r="AC781" s="683" t="str">
        <f t="shared" si="10"/>
        <v/>
      </c>
      <c r="AD781" s="683" t="str">
        <f t="shared" si="11"/>
        <v/>
      </c>
      <c r="AE781" s="683" t="str">
        <f t="shared" si="12"/>
        <v/>
      </c>
      <c r="AF781" s="683" t="str">
        <f t="shared" si="13"/>
        <v/>
      </c>
      <c r="AG781" s="683" t="str">
        <f t="shared" si="14"/>
        <v/>
      </c>
      <c r="AH781" s="683" t="str">
        <f t="shared" si="15"/>
        <v/>
      </c>
      <c r="AI781" s="683" t="str">
        <f t="shared" si="16"/>
        <v/>
      </c>
      <c r="AJ781" s="683" t="str">
        <f t="shared" si="17"/>
        <v/>
      </c>
      <c r="AK781" s="683" t="str">
        <f t="shared" si="18"/>
        <v/>
      </c>
      <c r="AL781" s="683" t="str">
        <f t="shared" si="19"/>
        <v/>
      </c>
      <c r="AM781" s="683" t="str">
        <f t="shared" si="20"/>
        <v/>
      </c>
      <c r="AN781" s="683" t="str">
        <f t="shared" si="21"/>
        <v/>
      </c>
      <c r="AO781" s="683" t="str">
        <f t="shared" si="22"/>
        <v/>
      </c>
      <c r="AP781" s="683" t="str">
        <f t="shared" si="23"/>
        <v/>
      </c>
      <c r="AQ781" s="683" t="str">
        <f t="shared" si="24"/>
        <v/>
      </c>
      <c r="AR781" s="683" t="str">
        <f t="shared" si="25"/>
        <v/>
      </c>
      <c r="AS781" s="683" t="str">
        <f t="shared" si="26"/>
        <v/>
      </c>
      <c r="AT781" s="683" t="str">
        <f t="shared" si="27"/>
        <v/>
      </c>
      <c r="AU781" s="683" t="str">
        <f t="shared" si="28"/>
        <v/>
      </c>
      <c r="AV781" s="683" t="str">
        <f t="shared" si="29"/>
        <v/>
      </c>
      <c r="AW781" s="683" t="str">
        <f t="shared" si="30"/>
        <v/>
      </c>
      <c r="AX781" s="683" t="str">
        <f t="shared" si="31"/>
        <v/>
      </c>
      <c r="AY781" s="683" t="str">
        <f t="shared" si="32"/>
        <v/>
      </c>
      <c r="AZ781" s="683" t="str">
        <f t="shared" si="33"/>
        <v/>
      </c>
      <c r="BA781" s="683" t="str">
        <f t="shared" si="34"/>
        <v/>
      </c>
      <c r="BB781" s="683" t="str">
        <f t="shared" si="35"/>
        <v/>
      </c>
      <c r="BC781" s="683" t="str">
        <f t="shared" si="36"/>
        <v/>
      </c>
      <c r="BD781" s="683" t="str">
        <f t="shared" si="37"/>
        <v/>
      </c>
      <c r="BE781" s="683" t="str">
        <f t="shared" si="38"/>
        <v/>
      </c>
      <c r="BF781" s="683" t="str">
        <f t="shared" si="39"/>
        <v/>
      </c>
      <c r="BG781" s="683" t="str">
        <f t="shared" si="40"/>
        <v/>
      </c>
      <c r="BH781" s="683" t="str">
        <f t="shared" si="41"/>
        <v/>
      </c>
      <c r="BI781" s="683" t="str">
        <f t="shared" si="42"/>
        <v/>
      </c>
      <c r="BJ781" s="683" t="str">
        <f t="shared" si="43"/>
        <v/>
      </c>
      <c r="BK781" s="683" t="str">
        <f t="shared" si="44"/>
        <v/>
      </c>
      <c r="BL781" s="683" t="str">
        <f t="shared" si="45"/>
        <v/>
      </c>
      <c r="BM781" s="683" t="str">
        <f t="shared" si="46"/>
        <v/>
      </c>
      <c r="BN781" s="683" t="str">
        <f t="shared" si="47"/>
        <v/>
      </c>
      <c r="BO781" s="683" t="str">
        <f t="shared" si="48"/>
        <v/>
      </c>
      <c r="BP781" s="683" t="str">
        <f t="shared" si="49"/>
        <v/>
      </c>
      <c r="BQ781" s="683" t="str">
        <f t="shared" si="50"/>
        <v/>
      </c>
      <c r="BR781" s="683" t="str">
        <f t="shared" si="51"/>
        <v/>
      </c>
      <c r="BS781" s="683" t="str">
        <f t="shared" si="52"/>
        <v/>
      </c>
      <c r="BT781" s="683" t="str">
        <f t="shared" si="53"/>
        <v/>
      </c>
      <c r="BU781" s="683" t="str">
        <f t="shared" si="54"/>
        <v/>
      </c>
      <c r="BV781" s="683" t="str">
        <f t="shared" si="55"/>
        <v/>
      </c>
      <c r="BW781" s="683" t="str">
        <f t="shared" si="56"/>
        <v/>
      </c>
      <c r="BX781" s="683" t="str">
        <f t="shared" si="57"/>
        <v/>
      </c>
      <c r="BY781" s="683" t="str">
        <f t="shared" si="58"/>
        <v/>
      </c>
      <c r="BZ781" s="683" t="str">
        <f t="shared" si="59"/>
        <v/>
      </c>
      <c r="CA781" s="683" t="str">
        <f t="shared" si="60"/>
        <v/>
      </c>
      <c r="CB781" s="683" t="str">
        <f t="shared" si="61"/>
        <v/>
      </c>
      <c r="CC781" s="683" t="str">
        <f t="shared" si="62"/>
        <v/>
      </c>
      <c r="CD781" s="683" t="str">
        <f t="shared" si="63"/>
        <v/>
      </c>
      <c r="CE781" s="683" t="str">
        <f t="shared" si="64"/>
        <v/>
      </c>
      <c r="CF781" s="683" t="str">
        <f t="shared" si="65"/>
        <v/>
      </c>
      <c r="CG781" s="683" t="str">
        <f t="shared" si="66"/>
        <v/>
      </c>
      <c r="CH781" s="683" t="str">
        <f t="shared" si="67"/>
        <v/>
      </c>
      <c r="CI781" s="683" t="str">
        <f t="shared" si="68"/>
        <v/>
      </c>
      <c r="CJ781" s="683" t="str">
        <f t="shared" si="69"/>
        <v/>
      </c>
      <c r="CK781" s="683" t="str">
        <f t="shared" si="70"/>
        <v/>
      </c>
      <c r="CL781" s="683" t="str">
        <f t="shared" si="71"/>
        <v/>
      </c>
      <c r="CM781" s="683" t="str">
        <f t="shared" si="72"/>
        <v/>
      </c>
      <c r="CN781" s="683" t="str">
        <f t="shared" si="73"/>
        <v/>
      </c>
      <c r="CO781" s="683" t="str">
        <f t="shared" si="74"/>
        <v/>
      </c>
      <c r="CP781" s="683" t="str">
        <f t="shared" si="75"/>
        <v/>
      </c>
      <c r="CQ781" s="683" t="str">
        <f t="shared" si="76"/>
        <v/>
      </c>
      <c r="CR781" s="683" t="str">
        <f t="shared" si="77"/>
        <v/>
      </c>
      <c r="CS781" s="683" t="str">
        <f t="shared" si="78"/>
        <v/>
      </c>
      <c r="CT781" s="683" t="str">
        <f t="shared" si="79"/>
        <v/>
      </c>
      <c r="CU781" s="683" t="str">
        <f t="shared" si="80"/>
        <v/>
      </c>
      <c r="CV781" s="683" t="str">
        <f t="shared" si="81"/>
        <v/>
      </c>
      <c r="CW781" s="683" t="str">
        <f t="shared" si="82"/>
        <v/>
      </c>
      <c r="CX781" s="683" t="str">
        <f t="shared" si="83"/>
        <v/>
      </c>
      <c r="CY781" s="683" t="str">
        <f t="shared" si="84"/>
        <v/>
      </c>
      <c r="CZ781" s="683" t="str">
        <f t="shared" si="85"/>
        <v/>
      </c>
      <c r="DA781" s="683" t="str">
        <f t="shared" si="86"/>
        <v/>
      </c>
      <c r="DB781" s="683" t="str">
        <f t="shared" si="87"/>
        <v/>
      </c>
      <c r="DC781" s="683" t="str">
        <f t="shared" si="88"/>
        <v/>
      </c>
      <c r="DD781" s="683" t="str">
        <f t="shared" si="89"/>
        <v/>
      </c>
      <c r="DE781" s="683" t="str">
        <f t="shared" si="90"/>
        <v/>
      </c>
      <c r="DF781" s="683" t="str">
        <f t="shared" si="91"/>
        <v/>
      </c>
      <c r="DG781" s="683" t="str">
        <f t="shared" si="92"/>
        <v/>
      </c>
      <c r="DH781" s="683" t="str">
        <f t="shared" si="93"/>
        <v/>
      </c>
      <c r="DI781" s="683" t="str">
        <f t="shared" si="94"/>
        <v/>
      </c>
      <c r="DJ781" s="683" t="str">
        <f t="shared" si="95"/>
        <v/>
      </c>
      <c r="DK781" s="683" t="str">
        <f t="shared" si="96"/>
        <v/>
      </c>
      <c r="DL781" s="683" t="str">
        <f t="shared" si="97"/>
        <v/>
      </c>
      <c r="DM781" s="683" t="str">
        <f t="shared" si="98"/>
        <v/>
      </c>
      <c r="DN781" s="683" t="str">
        <f t="shared" si="99"/>
        <v/>
      </c>
      <c r="DO781" s="683" t="str">
        <f t="shared" si="100"/>
        <v/>
      </c>
      <c r="DP781" s="683" t="str">
        <f t="shared" si="101"/>
        <v/>
      </c>
      <c r="DQ781" s="683" t="str">
        <f t="shared" si="102"/>
        <v/>
      </c>
      <c r="DR781" s="683" t="str">
        <f t="shared" si="103"/>
        <v/>
      </c>
      <c r="DS781" s="683" t="str">
        <f t="shared" si="104"/>
        <v/>
      </c>
      <c r="DT781" s="683" t="str">
        <f t="shared" si="105"/>
        <v/>
      </c>
      <c r="DU781" s="683" t="str">
        <f t="shared" si="106"/>
        <v/>
      </c>
      <c r="DV781" s="683" t="str">
        <f t="shared" si="107"/>
        <v/>
      </c>
      <c r="DW781" s="683" t="str">
        <f t="shared" si="108"/>
        <v/>
      </c>
      <c r="DX781" s="683" t="str">
        <f t="shared" si="109"/>
        <v/>
      </c>
      <c r="DY781" s="683" t="str">
        <f t="shared" si="110"/>
        <v/>
      </c>
      <c r="DZ781" s="683" t="str">
        <f t="shared" si="111"/>
        <v/>
      </c>
      <c r="EA781" s="683" t="str">
        <f t="shared" si="112"/>
        <v/>
      </c>
      <c r="EB781" s="683" t="str">
        <f t="shared" si="113"/>
        <v/>
      </c>
      <c r="EC781" s="683" t="str">
        <f t="shared" si="114"/>
        <v/>
      </c>
      <c r="ED781" s="683" t="str">
        <f t="shared" si="115"/>
        <v/>
      </c>
      <c r="EE781" s="683" t="str">
        <f t="shared" si="116"/>
        <v/>
      </c>
      <c r="EF781" s="683" t="str">
        <f t="shared" si="117"/>
        <v/>
      </c>
      <c r="EG781" s="683" t="str">
        <f t="shared" si="118"/>
        <v/>
      </c>
      <c r="EH781" s="683" t="str">
        <f t="shared" si="119"/>
        <v/>
      </c>
      <c r="EI781" s="683" t="str">
        <f t="shared" si="120"/>
        <v/>
      </c>
      <c r="EJ781" s="683" t="str">
        <f t="shared" si="121"/>
        <v/>
      </c>
      <c r="EK781" s="683" t="str">
        <f t="shared" si="122"/>
        <v/>
      </c>
      <c r="EL781" s="683" t="str">
        <f t="shared" si="123"/>
        <v/>
      </c>
      <c r="EM781" s="683" t="str">
        <f t="shared" si="124"/>
        <v/>
      </c>
      <c r="EN781" s="683" t="str">
        <f t="shared" si="125"/>
        <v/>
      </c>
      <c r="EO781" s="683" t="str">
        <f t="shared" si="126"/>
        <v/>
      </c>
      <c r="EP781" s="683" t="str">
        <f t="shared" si="127"/>
        <v/>
      </c>
      <c r="EQ781" s="683" t="str">
        <f t="shared" si="128"/>
        <v/>
      </c>
      <c r="ER781" s="683" t="str">
        <f t="shared" si="129"/>
        <v/>
      </c>
      <c r="ES781" s="683" t="str">
        <f t="shared" si="130"/>
        <v/>
      </c>
      <c r="ET781" s="683" t="str">
        <f t="shared" si="131"/>
        <v/>
      </c>
      <c r="EU781" s="683" t="str">
        <f t="shared" si="132"/>
        <v/>
      </c>
      <c r="EV781" s="683" t="str">
        <f t="shared" si="133"/>
        <v/>
      </c>
      <c r="EW781" s="1854" t="str">
        <f t="shared" si="134"/>
        <v/>
      </c>
      <c r="EX781" s="1854" t="str">
        <f t="shared" si="135"/>
        <v/>
      </c>
      <c r="EY781" s="1854" t="str">
        <f t="shared" si="136"/>
        <v/>
      </c>
      <c r="EZ781" s="1854" t="str">
        <f t="shared" si="137"/>
        <v/>
      </c>
      <c r="FA781" s="1854" t="str">
        <f t="shared" si="138"/>
        <v/>
      </c>
      <c r="FB781" s="1854" t="str">
        <f t="shared" si="139"/>
        <v/>
      </c>
      <c r="FC781" s="1854" t="str">
        <f t="shared" si="140"/>
        <v/>
      </c>
      <c r="FD781" s="1854" t="str">
        <f t="shared" si="141"/>
        <v/>
      </c>
      <c r="FE781" s="1854" t="str">
        <f t="shared" si="142"/>
        <v/>
      </c>
      <c r="FF781" s="1854" t="str">
        <f t="shared" si="143"/>
        <v/>
      </c>
      <c r="FG781" s="1854" t="str">
        <f t="shared" si="144"/>
        <v/>
      </c>
      <c r="FH781" s="1854" t="str">
        <f t="shared" si="145"/>
        <v/>
      </c>
      <c r="FI781" s="1854" t="str">
        <f t="shared" si="146"/>
        <v/>
      </c>
      <c r="FJ781" s="1854" t="str">
        <f t="shared" si="147"/>
        <v/>
      </c>
      <c r="FK781" s="1854" t="str">
        <f t="shared" si="148"/>
        <v/>
      </c>
      <c r="FL781" s="1854" t="str">
        <f t="shared" si="149"/>
        <v/>
      </c>
      <c r="FM781" s="1854" t="str">
        <f t="shared" si="150"/>
        <v/>
      </c>
      <c r="FN781" s="1854" t="str">
        <f t="shared" si="151"/>
        <v/>
      </c>
      <c r="FO781" s="1854" t="str">
        <f t="shared" si="152"/>
        <v/>
      </c>
      <c r="FP781" s="1854" t="str">
        <f t="shared" si="153"/>
        <v/>
      </c>
      <c r="FQ781" s="1854" t="str">
        <f t="shared" si="154"/>
        <v/>
      </c>
      <c r="FR781" s="1854" t="str">
        <f t="shared" si="155"/>
        <v/>
      </c>
      <c r="FS781" s="1854" t="str">
        <f t="shared" si="156"/>
        <v/>
      </c>
      <c r="FT781" s="1854" t="str">
        <f t="shared" si="157"/>
        <v/>
      </c>
      <c r="FU781" s="1854" t="str">
        <f t="shared" si="158"/>
        <v/>
      </c>
      <c r="FV781" s="1854" t="str">
        <f t="shared" si="159"/>
        <v/>
      </c>
      <c r="FW781" s="1854" t="str">
        <f t="shared" si="160"/>
        <v/>
      </c>
      <c r="FX781" s="1854" t="str">
        <f t="shared" si="161"/>
        <v/>
      </c>
      <c r="FY781" s="1854" t="str">
        <f t="shared" si="162"/>
        <v/>
      </c>
      <c r="FZ781" s="1854" t="str">
        <f t="shared" si="163"/>
        <v/>
      </c>
      <c r="GA781" s="1854" t="str">
        <f t="shared" si="164"/>
        <v/>
      </c>
      <c r="GB781" s="1854" t="str">
        <f t="shared" si="165"/>
        <v/>
      </c>
      <c r="GC781" s="1854" t="str">
        <f t="shared" si="166"/>
        <v/>
      </c>
      <c r="GD781" s="1854" t="str">
        <f t="shared" si="167"/>
        <v/>
      </c>
      <c r="GE781" s="1854" t="str">
        <f t="shared" si="168"/>
        <v/>
      </c>
      <c r="GF781" s="1854" t="str">
        <f t="shared" si="169"/>
        <v/>
      </c>
      <c r="GG781" s="1854" t="str">
        <f t="shared" si="170"/>
        <v/>
      </c>
      <c r="GH781" s="1854" t="str">
        <f t="shared" si="171"/>
        <v/>
      </c>
      <c r="GI781" s="1854" t="str">
        <f t="shared" si="172"/>
        <v/>
      </c>
      <c r="GJ781" s="1854" t="str">
        <f t="shared" si="173"/>
        <v/>
      </c>
      <c r="GK781" s="1854" t="str">
        <f t="shared" si="174"/>
        <v/>
      </c>
      <c r="GL781" s="1854" t="str">
        <f t="shared" si="175"/>
        <v/>
      </c>
      <c r="GM781" s="1854" t="str">
        <f t="shared" si="176"/>
        <v/>
      </c>
      <c r="GN781" s="1854" t="str">
        <f t="shared" si="177"/>
        <v/>
      </c>
      <c r="GO781" s="1854" t="str">
        <f t="shared" si="178"/>
        <v/>
      </c>
      <c r="GP781" s="1854" t="str">
        <f t="shared" si="179"/>
        <v/>
      </c>
      <c r="GQ781" s="1854" t="str">
        <f t="shared" si="180"/>
        <v/>
      </c>
      <c r="GR781" s="1854" t="str">
        <f t="shared" si="181"/>
        <v/>
      </c>
      <c r="GS781" s="1854" t="str">
        <f t="shared" si="182"/>
        <v/>
      </c>
      <c r="GT781" s="1854" t="str">
        <f t="shared" si="183"/>
        <v/>
      </c>
      <c r="GU781" s="1854" t="str">
        <f t="shared" si="184"/>
        <v/>
      </c>
      <c r="GV781" s="1854" t="str">
        <f t="shared" si="185"/>
        <v/>
      </c>
      <c r="GW781" s="1854" t="str">
        <f t="shared" si="186"/>
        <v/>
      </c>
      <c r="GX781" s="1854" t="str">
        <f t="shared" si="187"/>
        <v/>
      </c>
      <c r="GY781" s="1854" t="str">
        <f t="shared" si="188"/>
        <v/>
      </c>
      <c r="GZ781" s="1854" t="str">
        <f t="shared" si="189"/>
        <v/>
      </c>
      <c r="HA781" s="1854" t="str">
        <f t="shared" si="190"/>
        <v/>
      </c>
      <c r="HB781" s="1854" t="str">
        <f t="shared" si="191"/>
        <v/>
      </c>
      <c r="HC781" s="1854" t="str">
        <f t="shared" si="192"/>
        <v/>
      </c>
      <c r="HD781" s="1854" t="str">
        <f t="shared" si="193"/>
        <v/>
      </c>
      <c r="HE781" s="1854" t="str">
        <f t="shared" si="194"/>
        <v/>
      </c>
      <c r="HF781" s="1854" t="str">
        <f t="shared" si="195"/>
        <v/>
      </c>
      <c r="HG781" s="1854" t="str">
        <f t="shared" si="196"/>
        <v/>
      </c>
      <c r="HH781" s="1854" t="str">
        <f t="shared" si="197"/>
        <v/>
      </c>
      <c r="HI781" s="1854" t="str">
        <f t="shared" si="198"/>
        <v/>
      </c>
      <c r="HJ781" s="1854" t="str">
        <f t="shared" si="199"/>
        <v/>
      </c>
      <c r="HK781" s="1854" t="str">
        <f t="shared" si="200"/>
        <v/>
      </c>
      <c r="HL781" s="1854" t="str">
        <f t="shared" si="201"/>
        <v/>
      </c>
      <c r="HM781" s="1854" t="str">
        <f t="shared" si="202"/>
        <v/>
      </c>
      <c r="HN781" s="1854" t="str">
        <f t="shared" si="203"/>
        <v/>
      </c>
      <c r="HO781" s="1854" t="str">
        <f t="shared" si="204"/>
        <v/>
      </c>
      <c r="HP781" s="1854" t="str">
        <f t="shared" si="205"/>
        <v/>
      </c>
      <c r="HQ781" s="1854" t="str">
        <f t="shared" si="206"/>
        <v/>
      </c>
      <c r="HR781" s="1854" t="str">
        <f t="shared" si="207"/>
        <v/>
      </c>
      <c r="HS781" s="1854" t="str">
        <f t="shared" si="208"/>
        <v/>
      </c>
      <c r="HT781" s="1854" t="str">
        <f t="shared" si="209"/>
        <v/>
      </c>
      <c r="HU781" s="1854" t="str">
        <f t="shared" si="210"/>
        <v/>
      </c>
      <c r="HV781" s="1854" t="str">
        <f t="shared" si="211"/>
        <v/>
      </c>
      <c r="HW781" s="1854" t="str">
        <f t="shared" si="212"/>
        <v/>
      </c>
      <c r="HX781" s="1854" t="str">
        <f t="shared" si="213"/>
        <v/>
      </c>
      <c r="HY781" s="1854" t="str">
        <f t="shared" si="214"/>
        <v/>
      </c>
      <c r="HZ781" s="1854" t="str">
        <f t="shared" si="215"/>
        <v/>
      </c>
      <c r="IA781" s="1854" t="str">
        <f t="shared" si="216"/>
        <v/>
      </c>
      <c r="IB781" s="1854" t="str">
        <f t="shared" si="217"/>
        <v/>
      </c>
      <c r="IC781" s="1854" t="str">
        <f t="shared" si="218"/>
        <v/>
      </c>
      <c r="ID781" s="1826" t="str">
        <f t="shared" si="219"/>
        <v/>
      </c>
      <c r="IE781" s="1826" t="str">
        <f t="shared" si="220"/>
        <v/>
      </c>
      <c r="IF781" s="1826" t="str">
        <f t="shared" si="221"/>
        <v/>
      </c>
      <c r="IG781" s="1826" t="str">
        <f t="shared" si="222"/>
        <v/>
      </c>
      <c r="IH781" s="1826" t="str">
        <f t="shared" si="223"/>
        <v/>
      </c>
      <c r="II781" s="683" t="str">
        <f t="shared" si="224"/>
        <v/>
      </c>
      <c r="IJ781" s="683" t="str">
        <f t="shared" si="225"/>
        <v/>
      </c>
      <c r="IK781" s="683" t="str">
        <f t="shared" si="226"/>
        <v/>
      </c>
      <c r="IL781" s="683" t="str">
        <f t="shared" si="227"/>
        <v/>
      </c>
      <c r="IM781" s="683" t="str">
        <f t="shared" si="228"/>
        <v/>
      </c>
      <c r="IN781" s="683" t="str">
        <f t="shared" si="229"/>
        <v/>
      </c>
      <c r="IO781" s="683" t="str">
        <f t="shared" si="230"/>
        <v/>
      </c>
      <c r="IP781" s="683" t="str">
        <f t="shared" si="231"/>
        <v/>
      </c>
      <c r="IQ781" s="683" t="str">
        <f t="shared" si="232"/>
        <v/>
      </c>
      <c r="IR781" s="683" t="str">
        <f t="shared" si="233"/>
        <v/>
      </c>
      <c r="IS781" s="683" t="str">
        <f t="shared" si="234"/>
        <v/>
      </c>
      <c r="IT781" s="683" t="str">
        <f t="shared" si="235"/>
        <v/>
      </c>
      <c r="IU781" s="683" t="str">
        <f t="shared" si="236"/>
        <v/>
      </c>
      <c r="IV781" s="683" t="str">
        <f t="shared" si="237"/>
        <v/>
      </c>
      <c r="IW781" s="683" t="str">
        <f t="shared" si="238"/>
        <v/>
      </c>
      <c r="IX781" s="683" t="str">
        <f t="shared" si="239"/>
        <v/>
      </c>
      <c r="IY781" s="683" t="str">
        <f t="shared" si="240"/>
        <v/>
      </c>
      <c r="IZ781" s="683" t="str">
        <f t="shared" si="241"/>
        <v/>
      </c>
      <c r="JA781" s="683" t="str">
        <f t="shared" si="242"/>
        <v/>
      </c>
      <c r="JB781" s="683" t="str">
        <f t="shared" si="243"/>
        <v/>
      </c>
      <c r="JC781" s="1824">
        <f t="shared" si="244"/>
        <v>0</v>
      </c>
      <c r="JD781" s="1824">
        <f t="shared" si="245"/>
        <v>0</v>
      </c>
      <c r="JE781" s="1824">
        <f t="shared" si="246"/>
        <v>0</v>
      </c>
      <c r="JF781" s="1824">
        <f t="shared" si="247"/>
        <v>0</v>
      </c>
      <c r="JG781" s="1824">
        <f t="shared" si="248"/>
        <v>0</v>
      </c>
      <c r="JH781" s="1824">
        <f t="shared" si="249"/>
        <v>0</v>
      </c>
      <c r="JI781" s="1824">
        <f t="shared" si="250"/>
        <v>0</v>
      </c>
      <c r="JJ781" s="1824">
        <f t="shared" si="251"/>
        <v>0</v>
      </c>
      <c r="JK781" s="1824">
        <f t="shared" si="252"/>
        <v>0</v>
      </c>
      <c r="JL781" s="1824">
        <f t="shared" si="253"/>
        <v>0</v>
      </c>
      <c r="JM781" s="1824">
        <f t="shared" si="254"/>
        <v>0</v>
      </c>
      <c r="JN781" s="1824">
        <f t="shared" si="255"/>
        <v>0</v>
      </c>
      <c r="JO781" s="1824">
        <f t="shared" si="256"/>
        <v>0</v>
      </c>
      <c r="JP781" s="1824">
        <f t="shared" si="257"/>
        <v>0</v>
      </c>
      <c r="JQ781" s="1824">
        <f t="shared" si="258"/>
        <v>0</v>
      </c>
    </row>
    <row r="782" spans="1:277" ht="12" customHeight="1">
      <c r="A782" s="1837" t="str">
        <f t="shared" si="1"/>
        <v/>
      </c>
      <c r="B782" s="1846" t="str">
        <f>'Part VI-Revenues &amp; Expenses'!B25</f>
        <v>&lt;&lt;Select&gt;&gt;</v>
      </c>
      <c r="C782" s="1847">
        <f>'Part VI-Revenues &amp; Expenses'!C25</f>
        <v>0</v>
      </c>
      <c r="D782" s="1848">
        <f>'Part VI-Revenues &amp; Expenses'!D25</f>
        <v>0</v>
      </c>
      <c r="E782" s="1849">
        <f>'Part VI-Revenues &amp; Expenses'!E25</f>
        <v>0</v>
      </c>
      <c r="F782" s="1849">
        <f>'Part VI-Revenues &amp; Expenses'!F25</f>
        <v>0</v>
      </c>
      <c r="G782" s="1849">
        <f>'Part VI-Revenues &amp; Expenses'!G25</f>
        <v>0</v>
      </c>
      <c r="H782" s="1849">
        <f>'Part VI-Revenues &amp; Expenses'!H25</f>
        <v>0</v>
      </c>
      <c r="I782" s="1849">
        <f>'Part VI-Revenues &amp; Expenses'!I25</f>
        <v>0</v>
      </c>
      <c r="J782" s="1850">
        <f>'Part VI-Revenues &amp; Expenses'!J25</f>
        <v>0</v>
      </c>
      <c r="K782" s="1851">
        <f t="shared" si="2"/>
        <v>0</v>
      </c>
      <c r="L782" s="1851">
        <f t="shared" si="3"/>
        <v>0</v>
      </c>
      <c r="M782" s="1725">
        <f>'Part VI-Revenues &amp; Expenses'!M25</f>
        <v>0</v>
      </c>
      <c r="N782" s="1725">
        <f>'Part VI-Revenues &amp; Expenses'!N25</f>
        <v>0</v>
      </c>
      <c r="O782" s="1725">
        <f>'Part VI-Revenues &amp; Expenses'!O25</f>
        <v>0</v>
      </c>
      <c r="P782" s="1831">
        <f>'Part VI-Revenues &amp; Expenses'!P25</f>
        <v>0</v>
      </c>
      <c r="Q782" s="1852" t="str">
        <f>'Part VI-Revenues &amp; Expenses'!Q25</f>
        <v/>
      </c>
      <c r="R782" s="1853" t="str">
        <f>'Part VI-Revenues &amp; Expenses'!R25</f>
        <v/>
      </c>
      <c r="S782" s="1852">
        <f>'Part VI-Revenues &amp; Expenses'!S25</f>
        <v>0</v>
      </c>
      <c r="T782" s="1853">
        <f>'Part VI-Revenues &amp; Expenses'!T25</f>
        <v>0</v>
      </c>
      <c r="U782" s="1775"/>
      <c r="V782" s="1775"/>
      <c r="W782" s="683" t="str">
        <f t="shared" si="4"/>
        <v/>
      </c>
      <c r="X782" s="683" t="str">
        <f t="shared" si="5"/>
        <v/>
      </c>
      <c r="Y782" s="683" t="str">
        <f t="shared" si="6"/>
        <v/>
      </c>
      <c r="Z782" s="683" t="str">
        <f t="shared" si="7"/>
        <v/>
      </c>
      <c r="AA782" s="683" t="str">
        <f t="shared" si="8"/>
        <v/>
      </c>
      <c r="AB782" s="683" t="str">
        <f t="shared" si="9"/>
        <v/>
      </c>
      <c r="AC782" s="683" t="str">
        <f t="shared" si="10"/>
        <v/>
      </c>
      <c r="AD782" s="683" t="str">
        <f t="shared" si="11"/>
        <v/>
      </c>
      <c r="AE782" s="683" t="str">
        <f t="shared" si="12"/>
        <v/>
      </c>
      <c r="AF782" s="683" t="str">
        <f t="shared" si="13"/>
        <v/>
      </c>
      <c r="AG782" s="683" t="str">
        <f t="shared" si="14"/>
        <v/>
      </c>
      <c r="AH782" s="683" t="str">
        <f t="shared" si="15"/>
        <v/>
      </c>
      <c r="AI782" s="683" t="str">
        <f t="shared" si="16"/>
        <v/>
      </c>
      <c r="AJ782" s="683" t="str">
        <f t="shared" si="17"/>
        <v/>
      </c>
      <c r="AK782" s="683" t="str">
        <f t="shared" si="18"/>
        <v/>
      </c>
      <c r="AL782" s="683" t="str">
        <f t="shared" si="19"/>
        <v/>
      </c>
      <c r="AM782" s="683" t="str">
        <f t="shared" si="20"/>
        <v/>
      </c>
      <c r="AN782" s="683" t="str">
        <f t="shared" si="21"/>
        <v/>
      </c>
      <c r="AO782" s="683" t="str">
        <f t="shared" si="22"/>
        <v/>
      </c>
      <c r="AP782" s="683" t="str">
        <f t="shared" si="23"/>
        <v/>
      </c>
      <c r="AQ782" s="683" t="str">
        <f t="shared" si="24"/>
        <v/>
      </c>
      <c r="AR782" s="683" t="str">
        <f t="shared" si="25"/>
        <v/>
      </c>
      <c r="AS782" s="683" t="str">
        <f t="shared" si="26"/>
        <v/>
      </c>
      <c r="AT782" s="683" t="str">
        <f t="shared" si="27"/>
        <v/>
      </c>
      <c r="AU782" s="683" t="str">
        <f t="shared" si="28"/>
        <v/>
      </c>
      <c r="AV782" s="683" t="str">
        <f t="shared" si="29"/>
        <v/>
      </c>
      <c r="AW782" s="683" t="str">
        <f t="shared" si="30"/>
        <v/>
      </c>
      <c r="AX782" s="683" t="str">
        <f t="shared" si="31"/>
        <v/>
      </c>
      <c r="AY782" s="683" t="str">
        <f t="shared" si="32"/>
        <v/>
      </c>
      <c r="AZ782" s="683" t="str">
        <f t="shared" si="33"/>
        <v/>
      </c>
      <c r="BA782" s="683" t="str">
        <f t="shared" si="34"/>
        <v/>
      </c>
      <c r="BB782" s="683" t="str">
        <f t="shared" si="35"/>
        <v/>
      </c>
      <c r="BC782" s="683" t="str">
        <f t="shared" si="36"/>
        <v/>
      </c>
      <c r="BD782" s="683" t="str">
        <f t="shared" si="37"/>
        <v/>
      </c>
      <c r="BE782" s="683" t="str">
        <f t="shared" si="38"/>
        <v/>
      </c>
      <c r="BF782" s="683" t="str">
        <f t="shared" si="39"/>
        <v/>
      </c>
      <c r="BG782" s="683" t="str">
        <f t="shared" si="40"/>
        <v/>
      </c>
      <c r="BH782" s="683" t="str">
        <f t="shared" si="41"/>
        <v/>
      </c>
      <c r="BI782" s="683" t="str">
        <f t="shared" si="42"/>
        <v/>
      </c>
      <c r="BJ782" s="683" t="str">
        <f t="shared" si="43"/>
        <v/>
      </c>
      <c r="BK782" s="683" t="str">
        <f t="shared" si="44"/>
        <v/>
      </c>
      <c r="BL782" s="683" t="str">
        <f t="shared" si="45"/>
        <v/>
      </c>
      <c r="BM782" s="683" t="str">
        <f t="shared" si="46"/>
        <v/>
      </c>
      <c r="BN782" s="683" t="str">
        <f t="shared" si="47"/>
        <v/>
      </c>
      <c r="BO782" s="683" t="str">
        <f t="shared" si="48"/>
        <v/>
      </c>
      <c r="BP782" s="683" t="str">
        <f t="shared" si="49"/>
        <v/>
      </c>
      <c r="BQ782" s="683" t="str">
        <f t="shared" si="50"/>
        <v/>
      </c>
      <c r="BR782" s="683" t="str">
        <f t="shared" si="51"/>
        <v/>
      </c>
      <c r="BS782" s="683" t="str">
        <f t="shared" si="52"/>
        <v/>
      </c>
      <c r="BT782" s="683" t="str">
        <f t="shared" si="53"/>
        <v/>
      </c>
      <c r="BU782" s="683" t="str">
        <f t="shared" si="54"/>
        <v/>
      </c>
      <c r="BV782" s="683" t="str">
        <f t="shared" si="55"/>
        <v/>
      </c>
      <c r="BW782" s="683" t="str">
        <f t="shared" si="56"/>
        <v/>
      </c>
      <c r="BX782" s="683" t="str">
        <f t="shared" si="57"/>
        <v/>
      </c>
      <c r="BY782" s="683" t="str">
        <f t="shared" si="58"/>
        <v/>
      </c>
      <c r="BZ782" s="683" t="str">
        <f t="shared" si="59"/>
        <v/>
      </c>
      <c r="CA782" s="683" t="str">
        <f t="shared" si="60"/>
        <v/>
      </c>
      <c r="CB782" s="683" t="str">
        <f t="shared" si="61"/>
        <v/>
      </c>
      <c r="CC782" s="683" t="str">
        <f t="shared" si="62"/>
        <v/>
      </c>
      <c r="CD782" s="683" t="str">
        <f t="shared" si="63"/>
        <v/>
      </c>
      <c r="CE782" s="683" t="str">
        <f t="shared" si="64"/>
        <v/>
      </c>
      <c r="CF782" s="683" t="str">
        <f t="shared" si="65"/>
        <v/>
      </c>
      <c r="CG782" s="683" t="str">
        <f t="shared" si="66"/>
        <v/>
      </c>
      <c r="CH782" s="683" t="str">
        <f t="shared" si="67"/>
        <v/>
      </c>
      <c r="CI782" s="683" t="str">
        <f t="shared" si="68"/>
        <v/>
      </c>
      <c r="CJ782" s="683" t="str">
        <f t="shared" si="69"/>
        <v/>
      </c>
      <c r="CK782" s="683" t="str">
        <f t="shared" si="70"/>
        <v/>
      </c>
      <c r="CL782" s="683" t="str">
        <f t="shared" si="71"/>
        <v/>
      </c>
      <c r="CM782" s="683" t="str">
        <f t="shared" si="72"/>
        <v/>
      </c>
      <c r="CN782" s="683" t="str">
        <f t="shared" si="73"/>
        <v/>
      </c>
      <c r="CO782" s="683" t="str">
        <f t="shared" si="74"/>
        <v/>
      </c>
      <c r="CP782" s="683" t="str">
        <f t="shared" si="75"/>
        <v/>
      </c>
      <c r="CQ782" s="683" t="str">
        <f t="shared" si="76"/>
        <v/>
      </c>
      <c r="CR782" s="683" t="str">
        <f t="shared" si="77"/>
        <v/>
      </c>
      <c r="CS782" s="683" t="str">
        <f t="shared" si="78"/>
        <v/>
      </c>
      <c r="CT782" s="683" t="str">
        <f t="shared" si="79"/>
        <v/>
      </c>
      <c r="CU782" s="683" t="str">
        <f t="shared" si="80"/>
        <v/>
      </c>
      <c r="CV782" s="683" t="str">
        <f t="shared" si="81"/>
        <v/>
      </c>
      <c r="CW782" s="683" t="str">
        <f t="shared" si="82"/>
        <v/>
      </c>
      <c r="CX782" s="683" t="str">
        <f t="shared" si="83"/>
        <v/>
      </c>
      <c r="CY782" s="683" t="str">
        <f t="shared" si="84"/>
        <v/>
      </c>
      <c r="CZ782" s="683" t="str">
        <f t="shared" si="85"/>
        <v/>
      </c>
      <c r="DA782" s="683" t="str">
        <f t="shared" si="86"/>
        <v/>
      </c>
      <c r="DB782" s="683" t="str">
        <f t="shared" si="87"/>
        <v/>
      </c>
      <c r="DC782" s="683" t="str">
        <f t="shared" si="88"/>
        <v/>
      </c>
      <c r="DD782" s="683" t="str">
        <f t="shared" si="89"/>
        <v/>
      </c>
      <c r="DE782" s="683" t="str">
        <f t="shared" si="90"/>
        <v/>
      </c>
      <c r="DF782" s="683" t="str">
        <f t="shared" si="91"/>
        <v/>
      </c>
      <c r="DG782" s="683" t="str">
        <f t="shared" si="92"/>
        <v/>
      </c>
      <c r="DH782" s="683" t="str">
        <f t="shared" si="93"/>
        <v/>
      </c>
      <c r="DI782" s="683" t="str">
        <f t="shared" si="94"/>
        <v/>
      </c>
      <c r="DJ782" s="683" t="str">
        <f t="shared" si="95"/>
        <v/>
      </c>
      <c r="DK782" s="683" t="str">
        <f t="shared" si="96"/>
        <v/>
      </c>
      <c r="DL782" s="683" t="str">
        <f t="shared" si="97"/>
        <v/>
      </c>
      <c r="DM782" s="683" t="str">
        <f t="shared" si="98"/>
        <v/>
      </c>
      <c r="DN782" s="683" t="str">
        <f t="shared" si="99"/>
        <v/>
      </c>
      <c r="DO782" s="683" t="str">
        <f t="shared" si="100"/>
        <v/>
      </c>
      <c r="DP782" s="683" t="str">
        <f t="shared" si="101"/>
        <v/>
      </c>
      <c r="DQ782" s="683" t="str">
        <f t="shared" si="102"/>
        <v/>
      </c>
      <c r="DR782" s="683" t="str">
        <f t="shared" si="103"/>
        <v/>
      </c>
      <c r="DS782" s="683" t="str">
        <f t="shared" si="104"/>
        <v/>
      </c>
      <c r="DT782" s="683" t="str">
        <f t="shared" si="105"/>
        <v/>
      </c>
      <c r="DU782" s="683" t="str">
        <f t="shared" si="106"/>
        <v/>
      </c>
      <c r="DV782" s="683" t="str">
        <f t="shared" si="107"/>
        <v/>
      </c>
      <c r="DW782" s="683" t="str">
        <f t="shared" si="108"/>
        <v/>
      </c>
      <c r="DX782" s="683" t="str">
        <f t="shared" si="109"/>
        <v/>
      </c>
      <c r="DY782" s="683" t="str">
        <f t="shared" si="110"/>
        <v/>
      </c>
      <c r="DZ782" s="683" t="str">
        <f t="shared" si="111"/>
        <v/>
      </c>
      <c r="EA782" s="683" t="str">
        <f t="shared" si="112"/>
        <v/>
      </c>
      <c r="EB782" s="683" t="str">
        <f t="shared" si="113"/>
        <v/>
      </c>
      <c r="EC782" s="683" t="str">
        <f t="shared" si="114"/>
        <v/>
      </c>
      <c r="ED782" s="683" t="str">
        <f t="shared" si="115"/>
        <v/>
      </c>
      <c r="EE782" s="683" t="str">
        <f t="shared" si="116"/>
        <v/>
      </c>
      <c r="EF782" s="683" t="str">
        <f t="shared" si="117"/>
        <v/>
      </c>
      <c r="EG782" s="683" t="str">
        <f t="shared" si="118"/>
        <v/>
      </c>
      <c r="EH782" s="683" t="str">
        <f t="shared" si="119"/>
        <v/>
      </c>
      <c r="EI782" s="683" t="str">
        <f t="shared" si="120"/>
        <v/>
      </c>
      <c r="EJ782" s="683" t="str">
        <f t="shared" si="121"/>
        <v/>
      </c>
      <c r="EK782" s="683" t="str">
        <f t="shared" si="122"/>
        <v/>
      </c>
      <c r="EL782" s="683" t="str">
        <f t="shared" si="123"/>
        <v/>
      </c>
      <c r="EM782" s="683" t="str">
        <f t="shared" si="124"/>
        <v/>
      </c>
      <c r="EN782" s="683" t="str">
        <f t="shared" si="125"/>
        <v/>
      </c>
      <c r="EO782" s="683" t="str">
        <f t="shared" si="126"/>
        <v/>
      </c>
      <c r="EP782" s="683" t="str">
        <f t="shared" si="127"/>
        <v/>
      </c>
      <c r="EQ782" s="683" t="str">
        <f t="shared" si="128"/>
        <v/>
      </c>
      <c r="ER782" s="683" t="str">
        <f t="shared" si="129"/>
        <v/>
      </c>
      <c r="ES782" s="683" t="str">
        <f t="shared" si="130"/>
        <v/>
      </c>
      <c r="ET782" s="683" t="str">
        <f t="shared" si="131"/>
        <v/>
      </c>
      <c r="EU782" s="683" t="str">
        <f t="shared" si="132"/>
        <v/>
      </c>
      <c r="EV782" s="683" t="str">
        <f t="shared" si="133"/>
        <v/>
      </c>
      <c r="EW782" s="1854" t="str">
        <f t="shared" si="134"/>
        <v/>
      </c>
      <c r="EX782" s="1854" t="str">
        <f t="shared" si="135"/>
        <v/>
      </c>
      <c r="EY782" s="1854" t="str">
        <f t="shared" si="136"/>
        <v/>
      </c>
      <c r="EZ782" s="1854" t="str">
        <f t="shared" si="137"/>
        <v/>
      </c>
      <c r="FA782" s="1854" t="str">
        <f t="shared" si="138"/>
        <v/>
      </c>
      <c r="FB782" s="1854" t="str">
        <f t="shared" si="139"/>
        <v/>
      </c>
      <c r="FC782" s="1854" t="str">
        <f t="shared" si="140"/>
        <v/>
      </c>
      <c r="FD782" s="1854" t="str">
        <f t="shared" si="141"/>
        <v/>
      </c>
      <c r="FE782" s="1854" t="str">
        <f t="shared" si="142"/>
        <v/>
      </c>
      <c r="FF782" s="1854" t="str">
        <f t="shared" si="143"/>
        <v/>
      </c>
      <c r="FG782" s="1854" t="str">
        <f t="shared" si="144"/>
        <v/>
      </c>
      <c r="FH782" s="1854" t="str">
        <f t="shared" si="145"/>
        <v/>
      </c>
      <c r="FI782" s="1854" t="str">
        <f t="shared" si="146"/>
        <v/>
      </c>
      <c r="FJ782" s="1854" t="str">
        <f t="shared" si="147"/>
        <v/>
      </c>
      <c r="FK782" s="1854" t="str">
        <f t="shared" si="148"/>
        <v/>
      </c>
      <c r="FL782" s="1854" t="str">
        <f t="shared" si="149"/>
        <v/>
      </c>
      <c r="FM782" s="1854" t="str">
        <f t="shared" si="150"/>
        <v/>
      </c>
      <c r="FN782" s="1854" t="str">
        <f t="shared" si="151"/>
        <v/>
      </c>
      <c r="FO782" s="1854" t="str">
        <f t="shared" si="152"/>
        <v/>
      </c>
      <c r="FP782" s="1854" t="str">
        <f t="shared" si="153"/>
        <v/>
      </c>
      <c r="FQ782" s="1854" t="str">
        <f t="shared" si="154"/>
        <v/>
      </c>
      <c r="FR782" s="1854" t="str">
        <f t="shared" si="155"/>
        <v/>
      </c>
      <c r="FS782" s="1854" t="str">
        <f t="shared" si="156"/>
        <v/>
      </c>
      <c r="FT782" s="1854" t="str">
        <f t="shared" si="157"/>
        <v/>
      </c>
      <c r="FU782" s="1854" t="str">
        <f t="shared" si="158"/>
        <v/>
      </c>
      <c r="FV782" s="1854" t="str">
        <f t="shared" si="159"/>
        <v/>
      </c>
      <c r="FW782" s="1854" t="str">
        <f t="shared" si="160"/>
        <v/>
      </c>
      <c r="FX782" s="1854" t="str">
        <f t="shared" si="161"/>
        <v/>
      </c>
      <c r="FY782" s="1854" t="str">
        <f t="shared" si="162"/>
        <v/>
      </c>
      <c r="FZ782" s="1854" t="str">
        <f t="shared" si="163"/>
        <v/>
      </c>
      <c r="GA782" s="1854" t="str">
        <f t="shared" si="164"/>
        <v/>
      </c>
      <c r="GB782" s="1854" t="str">
        <f t="shared" si="165"/>
        <v/>
      </c>
      <c r="GC782" s="1854" t="str">
        <f t="shared" si="166"/>
        <v/>
      </c>
      <c r="GD782" s="1854" t="str">
        <f t="shared" si="167"/>
        <v/>
      </c>
      <c r="GE782" s="1854" t="str">
        <f t="shared" si="168"/>
        <v/>
      </c>
      <c r="GF782" s="1854" t="str">
        <f t="shared" si="169"/>
        <v/>
      </c>
      <c r="GG782" s="1854" t="str">
        <f t="shared" si="170"/>
        <v/>
      </c>
      <c r="GH782" s="1854" t="str">
        <f t="shared" si="171"/>
        <v/>
      </c>
      <c r="GI782" s="1854" t="str">
        <f t="shared" si="172"/>
        <v/>
      </c>
      <c r="GJ782" s="1854" t="str">
        <f t="shared" si="173"/>
        <v/>
      </c>
      <c r="GK782" s="1854" t="str">
        <f t="shared" si="174"/>
        <v/>
      </c>
      <c r="GL782" s="1854" t="str">
        <f t="shared" si="175"/>
        <v/>
      </c>
      <c r="GM782" s="1854" t="str">
        <f t="shared" si="176"/>
        <v/>
      </c>
      <c r="GN782" s="1854" t="str">
        <f t="shared" si="177"/>
        <v/>
      </c>
      <c r="GO782" s="1854" t="str">
        <f t="shared" si="178"/>
        <v/>
      </c>
      <c r="GP782" s="1854" t="str">
        <f t="shared" si="179"/>
        <v/>
      </c>
      <c r="GQ782" s="1854" t="str">
        <f t="shared" si="180"/>
        <v/>
      </c>
      <c r="GR782" s="1854" t="str">
        <f t="shared" si="181"/>
        <v/>
      </c>
      <c r="GS782" s="1854" t="str">
        <f t="shared" si="182"/>
        <v/>
      </c>
      <c r="GT782" s="1854" t="str">
        <f t="shared" si="183"/>
        <v/>
      </c>
      <c r="GU782" s="1854" t="str">
        <f t="shared" si="184"/>
        <v/>
      </c>
      <c r="GV782" s="1854" t="str">
        <f t="shared" si="185"/>
        <v/>
      </c>
      <c r="GW782" s="1854" t="str">
        <f t="shared" si="186"/>
        <v/>
      </c>
      <c r="GX782" s="1854" t="str">
        <f t="shared" si="187"/>
        <v/>
      </c>
      <c r="GY782" s="1854" t="str">
        <f t="shared" si="188"/>
        <v/>
      </c>
      <c r="GZ782" s="1854" t="str">
        <f t="shared" si="189"/>
        <v/>
      </c>
      <c r="HA782" s="1854" t="str">
        <f t="shared" si="190"/>
        <v/>
      </c>
      <c r="HB782" s="1854" t="str">
        <f t="shared" si="191"/>
        <v/>
      </c>
      <c r="HC782" s="1854" t="str">
        <f t="shared" si="192"/>
        <v/>
      </c>
      <c r="HD782" s="1854" t="str">
        <f t="shared" si="193"/>
        <v/>
      </c>
      <c r="HE782" s="1854" t="str">
        <f t="shared" si="194"/>
        <v/>
      </c>
      <c r="HF782" s="1854" t="str">
        <f t="shared" si="195"/>
        <v/>
      </c>
      <c r="HG782" s="1854" t="str">
        <f t="shared" si="196"/>
        <v/>
      </c>
      <c r="HH782" s="1854" t="str">
        <f t="shared" si="197"/>
        <v/>
      </c>
      <c r="HI782" s="1854" t="str">
        <f t="shared" si="198"/>
        <v/>
      </c>
      <c r="HJ782" s="1854" t="str">
        <f t="shared" si="199"/>
        <v/>
      </c>
      <c r="HK782" s="1854" t="str">
        <f t="shared" si="200"/>
        <v/>
      </c>
      <c r="HL782" s="1854" t="str">
        <f t="shared" si="201"/>
        <v/>
      </c>
      <c r="HM782" s="1854" t="str">
        <f t="shared" si="202"/>
        <v/>
      </c>
      <c r="HN782" s="1854" t="str">
        <f t="shared" si="203"/>
        <v/>
      </c>
      <c r="HO782" s="1854" t="str">
        <f t="shared" si="204"/>
        <v/>
      </c>
      <c r="HP782" s="1854" t="str">
        <f t="shared" si="205"/>
        <v/>
      </c>
      <c r="HQ782" s="1854" t="str">
        <f t="shared" si="206"/>
        <v/>
      </c>
      <c r="HR782" s="1854" t="str">
        <f t="shared" si="207"/>
        <v/>
      </c>
      <c r="HS782" s="1854" t="str">
        <f t="shared" si="208"/>
        <v/>
      </c>
      <c r="HT782" s="1854" t="str">
        <f t="shared" si="209"/>
        <v/>
      </c>
      <c r="HU782" s="1854" t="str">
        <f t="shared" si="210"/>
        <v/>
      </c>
      <c r="HV782" s="1854" t="str">
        <f t="shared" si="211"/>
        <v/>
      </c>
      <c r="HW782" s="1854" t="str">
        <f t="shared" si="212"/>
        <v/>
      </c>
      <c r="HX782" s="1854" t="str">
        <f t="shared" si="213"/>
        <v/>
      </c>
      <c r="HY782" s="1854" t="str">
        <f t="shared" si="214"/>
        <v/>
      </c>
      <c r="HZ782" s="1854" t="str">
        <f t="shared" si="215"/>
        <v/>
      </c>
      <c r="IA782" s="1854" t="str">
        <f t="shared" si="216"/>
        <v/>
      </c>
      <c r="IB782" s="1854" t="str">
        <f t="shared" si="217"/>
        <v/>
      </c>
      <c r="IC782" s="1854" t="str">
        <f t="shared" si="218"/>
        <v/>
      </c>
      <c r="ID782" s="1826" t="str">
        <f t="shared" si="219"/>
        <v/>
      </c>
      <c r="IE782" s="1826" t="str">
        <f t="shared" si="220"/>
        <v/>
      </c>
      <c r="IF782" s="1826" t="str">
        <f t="shared" si="221"/>
        <v/>
      </c>
      <c r="IG782" s="1826" t="str">
        <f t="shared" si="222"/>
        <v/>
      </c>
      <c r="IH782" s="1826" t="str">
        <f t="shared" si="223"/>
        <v/>
      </c>
      <c r="II782" s="683" t="str">
        <f t="shared" si="224"/>
        <v/>
      </c>
      <c r="IJ782" s="683" t="str">
        <f t="shared" si="225"/>
        <v/>
      </c>
      <c r="IK782" s="683" t="str">
        <f t="shared" si="226"/>
        <v/>
      </c>
      <c r="IL782" s="683" t="str">
        <f t="shared" si="227"/>
        <v/>
      </c>
      <c r="IM782" s="683" t="str">
        <f t="shared" si="228"/>
        <v/>
      </c>
      <c r="IN782" s="683" t="str">
        <f t="shared" si="229"/>
        <v/>
      </c>
      <c r="IO782" s="683" t="str">
        <f t="shared" si="230"/>
        <v/>
      </c>
      <c r="IP782" s="683" t="str">
        <f t="shared" si="231"/>
        <v/>
      </c>
      <c r="IQ782" s="683" t="str">
        <f t="shared" si="232"/>
        <v/>
      </c>
      <c r="IR782" s="683" t="str">
        <f t="shared" si="233"/>
        <v/>
      </c>
      <c r="IS782" s="683" t="str">
        <f t="shared" si="234"/>
        <v/>
      </c>
      <c r="IT782" s="683" t="str">
        <f t="shared" si="235"/>
        <v/>
      </c>
      <c r="IU782" s="683" t="str">
        <f t="shared" si="236"/>
        <v/>
      </c>
      <c r="IV782" s="683" t="str">
        <f t="shared" si="237"/>
        <v/>
      </c>
      <c r="IW782" s="683" t="str">
        <f t="shared" si="238"/>
        <v/>
      </c>
      <c r="IX782" s="683" t="str">
        <f t="shared" si="239"/>
        <v/>
      </c>
      <c r="IY782" s="683" t="str">
        <f t="shared" si="240"/>
        <v/>
      </c>
      <c r="IZ782" s="683" t="str">
        <f t="shared" si="241"/>
        <v/>
      </c>
      <c r="JA782" s="683" t="str">
        <f t="shared" si="242"/>
        <v/>
      </c>
      <c r="JB782" s="683" t="str">
        <f t="shared" si="243"/>
        <v/>
      </c>
      <c r="JC782" s="1824">
        <f t="shared" si="244"/>
        <v>0</v>
      </c>
      <c r="JD782" s="1824">
        <f t="shared" si="245"/>
        <v>0</v>
      </c>
      <c r="JE782" s="1824">
        <f t="shared" si="246"/>
        <v>0</v>
      </c>
      <c r="JF782" s="1824">
        <f t="shared" si="247"/>
        <v>0</v>
      </c>
      <c r="JG782" s="1824">
        <f t="shared" si="248"/>
        <v>0</v>
      </c>
      <c r="JH782" s="1824">
        <f t="shared" si="249"/>
        <v>0</v>
      </c>
      <c r="JI782" s="1824">
        <f t="shared" si="250"/>
        <v>0</v>
      </c>
      <c r="JJ782" s="1824">
        <f t="shared" si="251"/>
        <v>0</v>
      </c>
      <c r="JK782" s="1824">
        <f t="shared" si="252"/>
        <v>0</v>
      </c>
      <c r="JL782" s="1824">
        <f t="shared" si="253"/>
        <v>0</v>
      </c>
      <c r="JM782" s="1824">
        <f t="shared" si="254"/>
        <v>0</v>
      </c>
      <c r="JN782" s="1824">
        <f t="shared" si="255"/>
        <v>0</v>
      </c>
      <c r="JO782" s="1824">
        <f t="shared" si="256"/>
        <v>0</v>
      </c>
      <c r="JP782" s="1824">
        <f t="shared" si="257"/>
        <v>0</v>
      </c>
      <c r="JQ782" s="1824">
        <f t="shared" si="258"/>
        <v>0</v>
      </c>
    </row>
    <row r="783" spans="1:277" ht="12" customHeight="1">
      <c r="A783" s="1837" t="str">
        <f t="shared" si="1"/>
        <v/>
      </c>
      <c r="B783" s="1846" t="str">
        <f>'Part VI-Revenues &amp; Expenses'!B26</f>
        <v>&lt;&lt;Select&gt;&gt;</v>
      </c>
      <c r="C783" s="1847">
        <f>'Part VI-Revenues &amp; Expenses'!C26</f>
        <v>0</v>
      </c>
      <c r="D783" s="1848">
        <f>'Part VI-Revenues &amp; Expenses'!D26</f>
        <v>0</v>
      </c>
      <c r="E783" s="1849">
        <f>'Part VI-Revenues &amp; Expenses'!E26</f>
        <v>0</v>
      </c>
      <c r="F783" s="1849">
        <f>'Part VI-Revenues &amp; Expenses'!F26</f>
        <v>0</v>
      </c>
      <c r="G783" s="1849">
        <f>'Part VI-Revenues &amp; Expenses'!G26</f>
        <v>0</v>
      </c>
      <c r="H783" s="1849">
        <f>'Part VI-Revenues &amp; Expenses'!H26</f>
        <v>0</v>
      </c>
      <c r="I783" s="1849">
        <f>'Part VI-Revenues &amp; Expenses'!I26</f>
        <v>0</v>
      </c>
      <c r="J783" s="1850">
        <f>'Part VI-Revenues &amp; Expenses'!J26</f>
        <v>0</v>
      </c>
      <c r="K783" s="1851">
        <f t="shared" si="2"/>
        <v>0</v>
      </c>
      <c r="L783" s="1851">
        <f t="shared" si="3"/>
        <v>0</v>
      </c>
      <c r="M783" s="1725">
        <f>'Part VI-Revenues &amp; Expenses'!M26</f>
        <v>0</v>
      </c>
      <c r="N783" s="1725">
        <f>'Part VI-Revenues &amp; Expenses'!N26</f>
        <v>0</v>
      </c>
      <c r="O783" s="1725">
        <f>'Part VI-Revenues &amp; Expenses'!O26</f>
        <v>0</v>
      </c>
      <c r="P783" s="1831">
        <f>'Part VI-Revenues &amp; Expenses'!P26</f>
        <v>0</v>
      </c>
      <c r="Q783" s="1852" t="str">
        <f>'Part VI-Revenues &amp; Expenses'!Q26</f>
        <v/>
      </c>
      <c r="R783" s="1853" t="str">
        <f>'Part VI-Revenues &amp; Expenses'!R26</f>
        <v/>
      </c>
      <c r="S783" s="1852">
        <f>'Part VI-Revenues &amp; Expenses'!S26</f>
        <v>0</v>
      </c>
      <c r="T783" s="1853">
        <f>'Part VI-Revenues &amp; Expenses'!T26</f>
        <v>0</v>
      </c>
      <c r="U783" s="1775"/>
      <c r="V783" s="1775"/>
      <c r="W783" s="683" t="str">
        <f t="shared" si="4"/>
        <v/>
      </c>
      <c r="X783" s="683" t="str">
        <f t="shared" si="5"/>
        <v/>
      </c>
      <c r="Y783" s="683" t="str">
        <f t="shared" si="6"/>
        <v/>
      </c>
      <c r="Z783" s="683" t="str">
        <f t="shared" si="7"/>
        <v/>
      </c>
      <c r="AA783" s="683" t="str">
        <f t="shared" si="8"/>
        <v/>
      </c>
      <c r="AB783" s="683" t="str">
        <f t="shared" si="9"/>
        <v/>
      </c>
      <c r="AC783" s="683" t="str">
        <f t="shared" si="10"/>
        <v/>
      </c>
      <c r="AD783" s="683" t="str">
        <f t="shared" si="11"/>
        <v/>
      </c>
      <c r="AE783" s="683" t="str">
        <f t="shared" si="12"/>
        <v/>
      </c>
      <c r="AF783" s="683" t="str">
        <f t="shared" si="13"/>
        <v/>
      </c>
      <c r="AG783" s="683" t="str">
        <f t="shared" si="14"/>
        <v/>
      </c>
      <c r="AH783" s="683" t="str">
        <f t="shared" si="15"/>
        <v/>
      </c>
      <c r="AI783" s="683" t="str">
        <f t="shared" si="16"/>
        <v/>
      </c>
      <c r="AJ783" s="683" t="str">
        <f t="shared" si="17"/>
        <v/>
      </c>
      <c r="AK783" s="683" t="str">
        <f t="shared" si="18"/>
        <v/>
      </c>
      <c r="AL783" s="683" t="str">
        <f t="shared" si="19"/>
        <v/>
      </c>
      <c r="AM783" s="683" t="str">
        <f t="shared" si="20"/>
        <v/>
      </c>
      <c r="AN783" s="683" t="str">
        <f t="shared" si="21"/>
        <v/>
      </c>
      <c r="AO783" s="683" t="str">
        <f t="shared" si="22"/>
        <v/>
      </c>
      <c r="AP783" s="683" t="str">
        <f t="shared" si="23"/>
        <v/>
      </c>
      <c r="AQ783" s="683" t="str">
        <f t="shared" si="24"/>
        <v/>
      </c>
      <c r="AR783" s="683" t="str">
        <f t="shared" si="25"/>
        <v/>
      </c>
      <c r="AS783" s="683" t="str">
        <f t="shared" si="26"/>
        <v/>
      </c>
      <c r="AT783" s="683" t="str">
        <f t="shared" si="27"/>
        <v/>
      </c>
      <c r="AU783" s="683" t="str">
        <f t="shared" si="28"/>
        <v/>
      </c>
      <c r="AV783" s="683" t="str">
        <f t="shared" si="29"/>
        <v/>
      </c>
      <c r="AW783" s="683" t="str">
        <f t="shared" si="30"/>
        <v/>
      </c>
      <c r="AX783" s="683" t="str">
        <f t="shared" si="31"/>
        <v/>
      </c>
      <c r="AY783" s="683" t="str">
        <f t="shared" si="32"/>
        <v/>
      </c>
      <c r="AZ783" s="683" t="str">
        <f t="shared" si="33"/>
        <v/>
      </c>
      <c r="BA783" s="683" t="str">
        <f t="shared" si="34"/>
        <v/>
      </c>
      <c r="BB783" s="683" t="str">
        <f t="shared" si="35"/>
        <v/>
      </c>
      <c r="BC783" s="683" t="str">
        <f t="shared" si="36"/>
        <v/>
      </c>
      <c r="BD783" s="683" t="str">
        <f t="shared" si="37"/>
        <v/>
      </c>
      <c r="BE783" s="683" t="str">
        <f t="shared" si="38"/>
        <v/>
      </c>
      <c r="BF783" s="683" t="str">
        <f t="shared" si="39"/>
        <v/>
      </c>
      <c r="BG783" s="683" t="str">
        <f t="shared" si="40"/>
        <v/>
      </c>
      <c r="BH783" s="683" t="str">
        <f t="shared" si="41"/>
        <v/>
      </c>
      <c r="BI783" s="683" t="str">
        <f t="shared" si="42"/>
        <v/>
      </c>
      <c r="BJ783" s="683" t="str">
        <f t="shared" si="43"/>
        <v/>
      </c>
      <c r="BK783" s="683" t="str">
        <f t="shared" si="44"/>
        <v/>
      </c>
      <c r="BL783" s="683" t="str">
        <f t="shared" si="45"/>
        <v/>
      </c>
      <c r="BM783" s="683" t="str">
        <f t="shared" si="46"/>
        <v/>
      </c>
      <c r="BN783" s="683" t="str">
        <f t="shared" si="47"/>
        <v/>
      </c>
      <c r="BO783" s="683" t="str">
        <f t="shared" si="48"/>
        <v/>
      </c>
      <c r="BP783" s="683" t="str">
        <f t="shared" si="49"/>
        <v/>
      </c>
      <c r="BQ783" s="683" t="str">
        <f t="shared" si="50"/>
        <v/>
      </c>
      <c r="BR783" s="683" t="str">
        <f t="shared" si="51"/>
        <v/>
      </c>
      <c r="BS783" s="683" t="str">
        <f t="shared" si="52"/>
        <v/>
      </c>
      <c r="BT783" s="683" t="str">
        <f t="shared" si="53"/>
        <v/>
      </c>
      <c r="BU783" s="683" t="str">
        <f t="shared" si="54"/>
        <v/>
      </c>
      <c r="BV783" s="683" t="str">
        <f t="shared" si="55"/>
        <v/>
      </c>
      <c r="BW783" s="683" t="str">
        <f t="shared" si="56"/>
        <v/>
      </c>
      <c r="BX783" s="683" t="str">
        <f t="shared" si="57"/>
        <v/>
      </c>
      <c r="BY783" s="683" t="str">
        <f t="shared" si="58"/>
        <v/>
      </c>
      <c r="BZ783" s="683" t="str">
        <f t="shared" si="59"/>
        <v/>
      </c>
      <c r="CA783" s="683" t="str">
        <f t="shared" si="60"/>
        <v/>
      </c>
      <c r="CB783" s="683" t="str">
        <f t="shared" si="61"/>
        <v/>
      </c>
      <c r="CC783" s="683" t="str">
        <f t="shared" si="62"/>
        <v/>
      </c>
      <c r="CD783" s="683" t="str">
        <f t="shared" si="63"/>
        <v/>
      </c>
      <c r="CE783" s="683" t="str">
        <f t="shared" si="64"/>
        <v/>
      </c>
      <c r="CF783" s="683" t="str">
        <f t="shared" si="65"/>
        <v/>
      </c>
      <c r="CG783" s="683" t="str">
        <f t="shared" si="66"/>
        <v/>
      </c>
      <c r="CH783" s="683" t="str">
        <f t="shared" si="67"/>
        <v/>
      </c>
      <c r="CI783" s="683" t="str">
        <f t="shared" si="68"/>
        <v/>
      </c>
      <c r="CJ783" s="683" t="str">
        <f t="shared" si="69"/>
        <v/>
      </c>
      <c r="CK783" s="683" t="str">
        <f t="shared" si="70"/>
        <v/>
      </c>
      <c r="CL783" s="683" t="str">
        <f t="shared" si="71"/>
        <v/>
      </c>
      <c r="CM783" s="683" t="str">
        <f t="shared" si="72"/>
        <v/>
      </c>
      <c r="CN783" s="683" t="str">
        <f t="shared" si="73"/>
        <v/>
      </c>
      <c r="CO783" s="683" t="str">
        <f t="shared" si="74"/>
        <v/>
      </c>
      <c r="CP783" s="683" t="str">
        <f t="shared" si="75"/>
        <v/>
      </c>
      <c r="CQ783" s="683" t="str">
        <f t="shared" si="76"/>
        <v/>
      </c>
      <c r="CR783" s="683" t="str">
        <f t="shared" si="77"/>
        <v/>
      </c>
      <c r="CS783" s="683" t="str">
        <f t="shared" si="78"/>
        <v/>
      </c>
      <c r="CT783" s="683" t="str">
        <f t="shared" si="79"/>
        <v/>
      </c>
      <c r="CU783" s="683" t="str">
        <f t="shared" si="80"/>
        <v/>
      </c>
      <c r="CV783" s="683" t="str">
        <f t="shared" si="81"/>
        <v/>
      </c>
      <c r="CW783" s="683" t="str">
        <f t="shared" si="82"/>
        <v/>
      </c>
      <c r="CX783" s="683" t="str">
        <f t="shared" si="83"/>
        <v/>
      </c>
      <c r="CY783" s="683" t="str">
        <f t="shared" si="84"/>
        <v/>
      </c>
      <c r="CZ783" s="683" t="str">
        <f t="shared" si="85"/>
        <v/>
      </c>
      <c r="DA783" s="683" t="str">
        <f t="shared" si="86"/>
        <v/>
      </c>
      <c r="DB783" s="683" t="str">
        <f t="shared" si="87"/>
        <v/>
      </c>
      <c r="DC783" s="683" t="str">
        <f t="shared" si="88"/>
        <v/>
      </c>
      <c r="DD783" s="683" t="str">
        <f t="shared" si="89"/>
        <v/>
      </c>
      <c r="DE783" s="683" t="str">
        <f t="shared" si="90"/>
        <v/>
      </c>
      <c r="DF783" s="683" t="str">
        <f t="shared" si="91"/>
        <v/>
      </c>
      <c r="DG783" s="683" t="str">
        <f t="shared" si="92"/>
        <v/>
      </c>
      <c r="DH783" s="683" t="str">
        <f t="shared" si="93"/>
        <v/>
      </c>
      <c r="DI783" s="683" t="str">
        <f t="shared" si="94"/>
        <v/>
      </c>
      <c r="DJ783" s="683" t="str">
        <f t="shared" si="95"/>
        <v/>
      </c>
      <c r="DK783" s="683" t="str">
        <f t="shared" si="96"/>
        <v/>
      </c>
      <c r="DL783" s="683" t="str">
        <f t="shared" si="97"/>
        <v/>
      </c>
      <c r="DM783" s="683" t="str">
        <f t="shared" si="98"/>
        <v/>
      </c>
      <c r="DN783" s="683" t="str">
        <f t="shared" si="99"/>
        <v/>
      </c>
      <c r="DO783" s="683" t="str">
        <f t="shared" si="100"/>
        <v/>
      </c>
      <c r="DP783" s="683" t="str">
        <f t="shared" si="101"/>
        <v/>
      </c>
      <c r="DQ783" s="683" t="str">
        <f t="shared" si="102"/>
        <v/>
      </c>
      <c r="DR783" s="683" t="str">
        <f t="shared" si="103"/>
        <v/>
      </c>
      <c r="DS783" s="683" t="str">
        <f t="shared" si="104"/>
        <v/>
      </c>
      <c r="DT783" s="683" t="str">
        <f t="shared" si="105"/>
        <v/>
      </c>
      <c r="DU783" s="683" t="str">
        <f t="shared" si="106"/>
        <v/>
      </c>
      <c r="DV783" s="683" t="str">
        <f t="shared" si="107"/>
        <v/>
      </c>
      <c r="DW783" s="683" t="str">
        <f t="shared" si="108"/>
        <v/>
      </c>
      <c r="DX783" s="683" t="str">
        <f t="shared" si="109"/>
        <v/>
      </c>
      <c r="DY783" s="683" t="str">
        <f t="shared" si="110"/>
        <v/>
      </c>
      <c r="DZ783" s="683" t="str">
        <f t="shared" si="111"/>
        <v/>
      </c>
      <c r="EA783" s="683" t="str">
        <f t="shared" si="112"/>
        <v/>
      </c>
      <c r="EB783" s="683" t="str">
        <f t="shared" si="113"/>
        <v/>
      </c>
      <c r="EC783" s="683" t="str">
        <f t="shared" si="114"/>
        <v/>
      </c>
      <c r="ED783" s="683" t="str">
        <f t="shared" si="115"/>
        <v/>
      </c>
      <c r="EE783" s="683" t="str">
        <f t="shared" si="116"/>
        <v/>
      </c>
      <c r="EF783" s="683" t="str">
        <f t="shared" si="117"/>
        <v/>
      </c>
      <c r="EG783" s="683" t="str">
        <f t="shared" si="118"/>
        <v/>
      </c>
      <c r="EH783" s="683" t="str">
        <f t="shared" si="119"/>
        <v/>
      </c>
      <c r="EI783" s="683" t="str">
        <f t="shared" si="120"/>
        <v/>
      </c>
      <c r="EJ783" s="683" t="str">
        <f t="shared" si="121"/>
        <v/>
      </c>
      <c r="EK783" s="683" t="str">
        <f t="shared" si="122"/>
        <v/>
      </c>
      <c r="EL783" s="683" t="str">
        <f t="shared" si="123"/>
        <v/>
      </c>
      <c r="EM783" s="683" t="str">
        <f t="shared" si="124"/>
        <v/>
      </c>
      <c r="EN783" s="683" t="str">
        <f t="shared" si="125"/>
        <v/>
      </c>
      <c r="EO783" s="683" t="str">
        <f t="shared" si="126"/>
        <v/>
      </c>
      <c r="EP783" s="683" t="str">
        <f t="shared" si="127"/>
        <v/>
      </c>
      <c r="EQ783" s="683" t="str">
        <f t="shared" si="128"/>
        <v/>
      </c>
      <c r="ER783" s="683" t="str">
        <f t="shared" si="129"/>
        <v/>
      </c>
      <c r="ES783" s="683" t="str">
        <f t="shared" si="130"/>
        <v/>
      </c>
      <c r="ET783" s="683" t="str">
        <f t="shared" si="131"/>
        <v/>
      </c>
      <c r="EU783" s="683" t="str">
        <f t="shared" si="132"/>
        <v/>
      </c>
      <c r="EV783" s="683" t="str">
        <f t="shared" si="133"/>
        <v/>
      </c>
      <c r="EW783" s="1854" t="str">
        <f t="shared" si="134"/>
        <v/>
      </c>
      <c r="EX783" s="1854" t="str">
        <f t="shared" si="135"/>
        <v/>
      </c>
      <c r="EY783" s="1854" t="str">
        <f t="shared" si="136"/>
        <v/>
      </c>
      <c r="EZ783" s="1854" t="str">
        <f t="shared" si="137"/>
        <v/>
      </c>
      <c r="FA783" s="1854" t="str">
        <f t="shared" si="138"/>
        <v/>
      </c>
      <c r="FB783" s="1854" t="str">
        <f t="shared" si="139"/>
        <v/>
      </c>
      <c r="FC783" s="1854" t="str">
        <f t="shared" si="140"/>
        <v/>
      </c>
      <c r="FD783" s="1854" t="str">
        <f t="shared" si="141"/>
        <v/>
      </c>
      <c r="FE783" s="1854" t="str">
        <f t="shared" si="142"/>
        <v/>
      </c>
      <c r="FF783" s="1854" t="str">
        <f t="shared" si="143"/>
        <v/>
      </c>
      <c r="FG783" s="1854" t="str">
        <f t="shared" si="144"/>
        <v/>
      </c>
      <c r="FH783" s="1854" t="str">
        <f t="shared" si="145"/>
        <v/>
      </c>
      <c r="FI783" s="1854" t="str">
        <f t="shared" si="146"/>
        <v/>
      </c>
      <c r="FJ783" s="1854" t="str">
        <f t="shared" si="147"/>
        <v/>
      </c>
      <c r="FK783" s="1854" t="str">
        <f t="shared" si="148"/>
        <v/>
      </c>
      <c r="FL783" s="1854" t="str">
        <f t="shared" si="149"/>
        <v/>
      </c>
      <c r="FM783" s="1854" t="str">
        <f t="shared" si="150"/>
        <v/>
      </c>
      <c r="FN783" s="1854" t="str">
        <f t="shared" si="151"/>
        <v/>
      </c>
      <c r="FO783" s="1854" t="str">
        <f t="shared" si="152"/>
        <v/>
      </c>
      <c r="FP783" s="1854" t="str">
        <f t="shared" si="153"/>
        <v/>
      </c>
      <c r="FQ783" s="1854" t="str">
        <f t="shared" si="154"/>
        <v/>
      </c>
      <c r="FR783" s="1854" t="str">
        <f t="shared" si="155"/>
        <v/>
      </c>
      <c r="FS783" s="1854" t="str">
        <f t="shared" si="156"/>
        <v/>
      </c>
      <c r="FT783" s="1854" t="str">
        <f t="shared" si="157"/>
        <v/>
      </c>
      <c r="FU783" s="1854" t="str">
        <f t="shared" si="158"/>
        <v/>
      </c>
      <c r="FV783" s="1854" t="str">
        <f t="shared" si="159"/>
        <v/>
      </c>
      <c r="FW783" s="1854" t="str">
        <f t="shared" si="160"/>
        <v/>
      </c>
      <c r="FX783" s="1854" t="str">
        <f t="shared" si="161"/>
        <v/>
      </c>
      <c r="FY783" s="1854" t="str">
        <f t="shared" si="162"/>
        <v/>
      </c>
      <c r="FZ783" s="1854" t="str">
        <f t="shared" si="163"/>
        <v/>
      </c>
      <c r="GA783" s="1854" t="str">
        <f t="shared" si="164"/>
        <v/>
      </c>
      <c r="GB783" s="1854" t="str">
        <f t="shared" si="165"/>
        <v/>
      </c>
      <c r="GC783" s="1854" t="str">
        <f t="shared" si="166"/>
        <v/>
      </c>
      <c r="GD783" s="1854" t="str">
        <f t="shared" si="167"/>
        <v/>
      </c>
      <c r="GE783" s="1854" t="str">
        <f t="shared" si="168"/>
        <v/>
      </c>
      <c r="GF783" s="1854" t="str">
        <f t="shared" si="169"/>
        <v/>
      </c>
      <c r="GG783" s="1854" t="str">
        <f t="shared" si="170"/>
        <v/>
      </c>
      <c r="GH783" s="1854" t="str">
        <f t="shared" si="171"/>
        <v/>
      </c>
      <c r="GI783" s="1854" t="str">
        <f t="shared" si="172"/>
        <v/>
      </c>
      <c r="GJ783" s="1854" t="str">
        <f t="shared" si="173"/>
        <v/>
      </c>
      <c r="GK783" s="1854" t="str">
        <f t="shared" si="174"/>
        <v/>
      </c>
      <c r="GL783" s="1854" t="str">
        <f t="shared" si="175"/>
        <v/>
      </c>
      <c r="GM783" s="1854" t="str">
        <f t="shared" si="176"/>
        <v/>
      </c>
      <c r="GN783" s="1854" t="str">
        <f t="shared" si="177"/>
        <v/>
      </c>
      <c r="GO783" s="1854" t="str">
        <f t="shared" si="178"/>
        <v/>
      </c>
      <c r="GP783" s="1854" t="str">
        <f t="shared" si="179"/>
        <v/>
      </c>
      <c r="GQ783" s="1854" t="str">
        <f t="shared" si="180"/>
        <v/>
      </c>
      <c r="GR783" s="1854" t="str">
        <f t="shared" si="181"/>
        <v/>
      </c>
      <c r="GS783" s="1854" t="str">
        <f t="shared" si="182"/>
        <v/>
      </c>
      <c r="GT783" s="1854" t="str">
        <f t="shared" si="183"/>
        <v/>
      </c>
      <c r="GU783" s="1854" t="str">
        <f t="shared" si="184"/>
        <v/>
      </c>
      <c r="GV783" s="1854" t="str">
        <f t="shared" si="185"/>
        <v/>
      </c>
      <c r="GW783" s="1854" t="str">
        <f t="shared" si="186"/>
        <v/>
      </c>
      <c r="GX783" s="1854" t="str">
        <f t="shared" si="187"/>
        <v/>
      </c>
      <c r="GY783" s="1854" t="str">
        <f t="shared" si="188"/>
        <v/>
      </c>
      <c r="GZ783" s="1854" t="str">
        <f t="shared" si="189"/>
        <v/>
      </c>
      <c r="HA783" s="1854" t="str">
        <f t="shared" si="190"/>
        <v/>
      </c>
      <c r="HB783" s="1854" t="str">
        <f t="shared" si="191"/>
        <v/>
      </c>
      <c r="HC783" s="1854" t="str">
        <f t="shared" si="192"/>
        <v/>
      </c>
      <c r="HD783" s="1854" t="str">
        <f t="shared" si="193"/>
        <v/>
      </c>
      <c r="HE783" s="1854" t="str">
        <f t="shared" si="194"/>
        <v/>
      </c>
      <c r="HF783" s="1854" t="str">
        <f t="shared" si="195"/>
        <v/>
      </c>
      <c r="HG783" s="1854" t="str">
        <f t="shared" si="196"/>
        <v/>
      </c>
      <c r="HH783" s="1854" t="str">
        <f t="shared" si="197"/>
        <v/>
      </c>
      <c r="HI783" s="1854" t="str">
        <f t="shared" si="198"/>
        <v/>
      </c>
      <c r="HJ783" s="1854" t="str">
        <f t="shared" si="199"/>
        <v/>
      </c>
      <c r="HK783" s="1854" t="str">
        <f t="shared" si="200"/>
        <v/>
      </c>
      <c r="HL783" s="1854" t="str">
        <f t="shared" si="201"/>
        <v/>
      </c>
      <c r="HM783" s="1854" t="str">
        <f t="shared" si="202"/>
        <v/>
      </c>
      <c r="HN783" s="1854" t="str">
        <f t="shared" si="203"/>
        <v/>
      </c>
      <c r="HO783" s="1854" t="str">
        <f t="shared" si="204"/>
        <v/>
      </c>
      <c r="HP783" s="1854" t="str">
        <f t="shared" si="205"/>
        <v/>
      </c>
      <c r="HQ783" s="1854" t="str">
        <f t="shared" si="206"/>
        <v/>
      </c>
      <c r="HR783" s="1854" t="str">
        <f t="shared" si="207"/>
        <v/>
      </c>
      <c r="HS783" s="1854" t="str">
        <f t="shared" si="208"/>
        <v/>
      </c>
      <c r="HT783" s="1854" t="str">
        <f t="shared" si="209"/>
        <v/>
      </c>
      <c r="HU783" s="1854" t="str">
        <f t="shared" si="210"/>
        <v/>
      </c>
      <c r="HV783" s="1854" t="str">
        <f t="shared" si="211"/>
        <v/>
      </c>
      <c r="HW783" s="1854" t="str">
        <f t="shared" si="212"/>
        <v/>
      </c>
      <c r="HX783" s="1854" t="str">
        <f t="shared" si="213"/>
        <v/>
      </c>
      <c r="HY783" s="1854" t="str">
        <f t="shared" si="214"/>
        <v/>
      </c>
      <c r="HZ783" s="1854" t="str">
        <f t="shared" si="215"/>
        <v/>
      </c>
      <c r="IA783" s="1854" t="str">
        <f t="shared" si="216"/>
        <v/>
      </c>
      <c r="IB783" s="1854" t="str">
        <f t="shared" si="217"/>
        <v/>
      </c>
      <c r="IC783" s="1854" t="str">
        <f t="shared" si="218"/>
        <v/>
      </c>
      <c r="ID783" s="1826" t="str">
        <f t="shared" si="219"/>
        <v/>
      </c>
      <c r="IE783" s="1826" t="str">
        <f t="shared" si="220"/>
        <v/>
      </c>
      <c r="IF783" s="1826" t="str">
        <f t="shared" si="221"/>
        <v/>
      </c>
      <c r="IG783" s="1826" t="str">
        <f t="shared" si="222"/>
        <v/>
      </c>
      <c r="IH783" s="1826" t="str">
        <f t="shared" si="223"/>
        <v/>
      </c>
      <c r="II783" s="683" t="str">
        <f t="shared" si="224"/>
        <v/>
      </c>
      <c r="IJ783" s="683" t="str">
        <f t="shared" si="225"/>
        <v/>
      </c>
      <c r="IK783" s="683" t="str">
        <f t="shared" si="226"/>
        <v/>
      </c>
      <c r="IL783" s="683" t="str">
        <f t="shared" si="227"/>
        <v/>
      </c>
      <c r="IM783" s="683" t="str">
        <f t="shared" si="228"/>
        <v/>
      </c>
      <c r="IN783" s="683" t="str">
        <f t="shared" si="229"/>
        <v/>
      </c>
      <c r="IO783" s="683" t="str">
        <f t="shared" si="230"/>
        <v/>
      </c>
      <c r="IP783" s="683" t="str">
        <f t="shared" si="231"/>
        <v/>
      </c>
      <c r="IQ783" s="683" t="str">
        <f t="shared" si="232"/>
        <v/>
      </c>
      <c r="IR783" s="683" t="str">
        <f t="shared" si="233"/>
        <v/>
      </c>
      <c r="IS783" s="683" t="str">
        <f t="shared" si="234"/>
        <v/>
      </c>
      <c r="IT783" s="683" t="str">
        <f t="shared" si="235"/>
        <v/>
      </c>
      <c r="IU783" s="683" t="str">
        <f t="shared" si="236"/>
        <v/>
      </c>
      <c r="IV783" s="683" t="str">
        <f t="shared" si="237"/>
        <v/>
      </c>
      <c r="IW783" s="683" t="str">
        <f t="shared" si="238"/>
        <v/>
      </c>
      <c r="IX783" s="683" t="str">
        <f t="shared" si="239"/>
        <v/>
      </c>
      <c r="IY783" s="683" t="str">
        <f t="shared" si="240"/>
        <v/>
      </c>
      <c r="IZ783" s="683" t="str">
        <f t="shared" si="241"/>
        <v/>
      </c>
      <c r="JA783" s="683" t="str">
        <f t="shared" si="242"/>
        <v/>
      </c>
      <c r="JB783" s="683" t="str">
        <f t="shared" si="243"/>
        <v/>
      </c>
      <c r="JC783" s="1824">
        <f t="shared" si="244"/>
        <v>0</v>
      </c>
      <c r="JD783" s="1824">
        <f t="shared" si="245"/>
        <v>0</v>
      </c>
      <c r="JE783" s="1824">
        <f t="shared" si="246"/>
        <v>0</v>
      </c>
      <c r="JF783" s="1824">
        <f t="shared" si="247"/>
        <v>0</v>
      </c>
      <c r="JG783" s="1824">
        <f t="shared" si="248"/>
        <v>0</v>
      </c>
      <c r="JH783" s="1824">
        <f t="shared" si="249"/>
        <v>0</v>
      </c>
      <c r="JI783" s="1824">
        <f t="shared" si="250"/>
        <v>0</v>
      </c>
      <c r="JJ783" s="1824">
        <f t="shared" si="251"/>
        <v>0</v>
      </c>
      <c r="JK783" s="1824">
        <f t="shared" si="252"/>
        <v>0</v>
      </c>
      <c r="JL783" s="1824">
        <f t="shared" si="253"/>
        <v>0</v>
      </c>
      <c r="JM783" s="1824">
        <f t="shared" si="254"/>
        <v>0</v>
      </c>
      <c r="JN783" s="1824">
        <f t="shared" si="255"/>
        <v>0</v>
      </c>
      <c r="JO783" s="1824">
        <f t="shared" si="256"/>
        <v>0</v>
      </c>
      <c r="JP783" s="1824">
        <f t="shared" si="257"/>
        <v>0</v>
      </c>
      <c r="JQ783" s="1824">
        <f t="shared" si="258"/>
        <v>0</v>
      </c>
    </row>
    <row r="784" spans="1:277" ht="12" customHeight="1">
      <c r="A784" s="1837" t="str">
        <f t="shared" si="1"/>
        <v/>
      </c>
      <c r="B784" s="1846" t="str">
        <f>'Part VI-Revenues &amp; Expenses'!B27</f>
        <v>&lt;&lt;Select&gt;&gt;</v>
      </c>
      <c r="C784" s="1847">
        <f>'Part VI-Revenues &amp; Expenses'!C27</f>
        <v>0</v>
      </c>
      <c r="D784" s="1848">
        <f>'Part VI-Revenues &amp; Expenses'!D27</f>
        <v>0</v>
      </c>
      <c r="E784" s="1849">
        <f>'Part VI-Revenues &amp; Expenses'!E27</f>
        <v>0</v>
      </c>
      <c r="F784" s="1849">
        <f>'Part VI-Revenues &amp; Expenses'!F27</f>
        <v>0</v>
      </c>
      <c r="G784" s="1849">
        <f>'Part VI-Revenues &amp; Expenses'!G27</f>
        <v>0</v>
      </c>
      <c r="H784" s="1849">
        <f>'Part VI-Revenues &amp; Expenses'!H27</f>
        <v>0</v>
      </c>
      <c r="I784" s="1849">
        <f>'Part VI-Revenues &amp; Expenses'!I27</f>
        <v>0</v>
      </c>
      <c r="J784" s="1850">
        <f>'Part VI-Revenues &amp; Expenses'!J27</f>
        <v>0</v>
      </c>
      <c r="K784" s="1851">
        <f t="shared" si="2"/>
        <v>0</v>
      </c>
      <c r="L784" s="1851">
        <f t="shared" si="3"/>
        <v>0</v>
      </c>
      <c r="M784" s="1725">
        <f>'Part VI-Revenues &amp; Expenses'!M27</f>
        <v>0</v>
      </c>
      <c r="N784" s="1725">
        <f>'Part VI-Revenues &amp; Expenses'!N27</f>
        <v>0</v>
      </c>
      <c r="O784" s="1725">
        <f>'Part VI-Revenues &amp; Expenses'!O27</f>
        <v>0</v>
      </c>
      <c r="P784" s="1831">
        <f>'Part VI-Revenues &amp; Expenses'!P27</f>
        <v>0</v>
      </c>
      <c r="Q784" s="1852" t="str">
        <f>'Part VI-Revenues &amp; Expenses'!Q27</f>
        <v/>
      </c>
      <c r="R784" s="1853" t="str">
        <f>'Part VI-Revenues &amp; Expenses'!R27</f>
        <v/>
      </c>
      <c r="S784" s="1852">
        <f>'Part VI-Revenues &amp; Expenses'!S27</f>
        <v>0</v>
      </c>
      <c r="T784" s="1853">
        <f>'Part VI-Revenues &amp; Expenses'!T27</f>
        <v>0</v>
      </c>
      <c r="U784" s="1775"/>
      <c r="V784" s="1775"/>
      <c r="W784" s="683" t="str">
        <f t="shared" si="4"/>
        <v/>
      </c>
      <c r="X784" s="683" t="str">
        <f t="shared" si="5"/>
        <v/>
      </c>
      <c r="Y784" s="683" t="str">
        <f t="shared" si="6"/>
        <v/>
      </c>
      <c r="Z784" s="683" t="str">
        <f t="shared" si="7"/>
        <v/>
      </c>
      <c r="AA784" s="683" t="str">
        <f t="shared" si="8"/>
        <v/>
      </c>
      <c r="AB784" s="683" t="str">
        <f t="shared" si="9"/>
        <v/>
      </c>
      <c r="AC784" s="683" t="str">
        <f t="shared" si="10"/>
        <v/>
      </c>
      <c r="AD784" s="683" t="str">
        <f t="shared" si="11"/>
        <v/>
      </c>
      <c r="AE784" s="683" t="str">
        <f t="shared" si="12"/>
        <v/>
      </c>
      <c r="AF784" s="683" t="str">
        <f t="shared" si="13"/>
        <v/>
      </c>
      <c r="AG784" s="683" t="str">
        <f t="shared" si="14"/>
        <v/>
      </c>
      <c r="AH784" s="683" t="str">
        <f t="shared" si="15"/>
        <v/>
      </c>
      <c r="AI784" s="683" t="str">
        <f t="shared" si="16"/>
        <v/>
      </c>
      <c r="AJ784" s="683" t="str">
        <f t="shared" si="17"/>
        <v/>
      </c>
      <c r="AK784" s="683" t="str">
        <f t="shared" si="18"/>
        <v/>
      </c>
      <c r="AL784" s="683" t="str">
        <f t="shared" si="19"/>
        <v/>
      </c>
      <c r="AM784" s="683" t="str">
        <f t="shared" si="20"/>
        <v/>
      </c>
      <c r="AN784" s="683" t="str">
        <f t="shared" si="21"/>
        <v/>
      </c>
      <c r="AO784" s="683" t="str">
        <f t="shared" si="22"/>
        <v/>
      </c>
      <c r="AP784" s="683" t="str">
        <f t="shared" si="23"/>
        <v/>
      </c>
      <c r="AQ784" s="683" t="str">
        <f t="shared" si="24"/>
        <v/>
      </c>
      <c r="AR784" s="683" t="str">
        <f t="shared" si="25"/>
        <v/>
      </c>
      <c r="AS784" s="683" t="str">
        <f t="shared" si="26"/>
        <v/>
      </c>
      <c r="AT784" s="683" t="str">
        <f t="shared" si="27"/>
        <v/>
      </c>
      <c r="AU784" s="683" t="str">
        <f t="shared" si="28"/>
        <v/>
      </c>
      <c r="AV784" s="683" t="str">
        <f t="shared" si="29"/>
        <v/>
      </c>
      <c r="AW784" s="683" t="str">
        <f t="shared" si="30"/>
        <v/>
      </c>
      <c r="AX784" s="683" t="str">
        <f t="shared" si="31"/>
        <v/>
      </c>
      <c r="AY784" s="683" t="str">
        <f t="shared" si="32"/>
        <v/>
      </c>
      <c r="AZ784" s="683" t="str">
        <f t="shared" si="33"/>
        <v/>
      </c>
      <c r="BA784" s="683" t="str">
        <f t="shared" si="34"/>
        <v/>
      </c>
      <c r="BB784" s="683" t="str">
        <f t="shared" si="35"/>
        <v/>
      </c>
      <c r="BC784" s="683" t="str">
        <f t="shared" si="36"/>
        <v/>
      </c>
      <c r="BD784" s="683" t="str">
        <f t="shared" si="37"/>
        <v/>
      </c>
      <c r="BE784" s="683" t="str">
        <f t="shared" si="38"/>
        <v/>
      </c>
      <c r="BF784" s="683" t="str">
        <f t="shared" si="39"/>
        <v/>
      </c>
      <c r="BG784" s="683" t="str">
        <f t="shared" si="40"/>
        <v/>
      </c>
      <c r="BH784" s="683" t="str">
        <f t="shared" si="41"/>
        <v/>
      </c>
      <c r="BI784" s="683" t="str">
        <f t="shared" si="42"/>
        <v/>
      </c>
      <c r="BJ784" s="683" t="str">
        <f t="shared" si="43"/>
        <v/>
      </c>
      <c r="BK784" s="683" t="str">
        <f t="shared" si="44"/>
        <v/>
      </c>
      <c r="BL784" s="683" t="str">
        <f t="shared" si="45"/>
        <v/>
      </c>
      <c r="BM784" s="683" t="str">
        <f t="shared" si="46"/>
        <v/>
      </c>
      <c r="BN784" s="683" t="str">
        <f t="shared" si="47"/>
        <v/>
      </c>
      <c r="BO784" s="683" t="str">
        <f t="shared" si="48"/>
        <v/>
      </c>
      <c r="BP784" s="683" t="str">
        <f t="shared" si="49"/>
        <v/>
      </c>
      <c r="BQ784" s="683" t="str">
        <f t="shared" si="50"/>
        <v/>
      </c>
      <c r="BR784" s="683" t="str">
        <f t="shared" si="51"/>
        <v/>
      </c>
      <c r="BS784" s="683" t="str">
        <f t="shared" si="52"/>
        <v/>
      </c>
      <c r="BT784" s="683" t="str">
        <f t="shared" si="53"/>
        <v/>
      </c>
      <c r="BU784" s="683" t="str">
        <f t="shared" si="54"/>
        <v/>
      </c>
      <c r="BV784" s="683" t="str">
        <f t="shared" si="55"/>
        <v/>
      </c>
      <c r="BW784" s="683" t="str">
        <f t="shared" si="56"/>
        <v/>
      </c>
      <c r="BX784" s="683" t="str">
        <f t="shared" si="57"/>
        <v/>
      </c>
      <c r="BY784" s="683" t="str">
        <f t="shared" si="58"/>
        <v/>
      </c>
      <c r="BZ784" s="683" t="str">
        <f t="shared" si="59"/>
        <v/>
      </c>
      <c r="CA784" s="683" t="str">
        <f t="shared" si="60"/>
        <v/>
      </c>
      <c r="CB784" s="683" t="str">
        <f t="shared" si="61"/>
        <v/>
      </c>
      <c r="CC784" s="683" t="str">
        <f t="shared" si="62"/>
        <v/>
      </c>
      <c r="CD784" s="683" t="str">
        <f t="shared" si="63"/>
        <v/>
      </c>
      <c r="CE784" s="683" t="str">
        <f t="shared" si="64"/>
        <v/>
      </c>
      <c r="CF784" s="683" t="str">
        <f t="shared" si="65"/>
        <v/>
      </c>
      <c r="CG784" s="683" t="str">
        <f t="shared" si="66"/>
        <v/>
      </c>
      <c r="CH784" s="683" t="str">
        <f t="shared" si="67"/>
        <v/>
      </c>
      <c r="CI784" s="683" t="str">
        <f t="shared" si="68"/>
        <v/>
      </c>
      <c r="CJ784" s="683" t="str">
        <f t="shared" si="69"/>
        <v/>
      </c>
      <c r="CK784" s="683" t="str">
        <f t="shared" si="70"/>
        <v/>
      </c>
      <c r="CL784" s="683" t="str">
        <f t="shared" si="71"/>
        <v/>
      </c>
      <c r="CM784" s="683" t="str">
        <f t="shared" si="72"/>
        <v/>
      </c>
      <c r="CN784" s="683" t="str">
        <f t="shared" si="73"/>
        <v/>
      </c>
      <c r="CO784" s="683" t="str">
        <f t="shared" si="74"/>
        <v/>
      </c>
      <c r="CP784" s="683" t="str">
        <f t="shared" si="75"/>
        <v/>
      </c>
      <c r="CQ784" s="683" t="str">
        <f t="shared" si="76"/>
        <v/>
      </c>
      <c r="CR784" s="683" t="str">
        <f t="shared" si="77"/>
        <v/>
      </c>
      <c r="CS784" s="683" t="str">
        <f t="shared" si="78"/>
        <v/>
      </c>
      <c r="CT784" s="683" t="str">
        <f t="shared" si="79"/>
        <v/>
      </c>
      <c r="CU784" s="683" t="str">
        <f t="shared" si="80"/>
        <v/>
      </c>
      <c r="CV784" s="683" t="str">
        <f t="shared" si="81"/>
        <v/>
      </c>
      <c r="CW784" s="683" t="str">
        <f t="shared" si="82"/>
        <v/>
      </c>
      <c r="CX784" s="683" t="str">
        <f t="shared" si="83"/>
        <v/>
      </c>
      <c r="CY784" s="683" t="str">
        <f t="shared" si="84"/>
        <v/>
      </c>
      <c r="CZ784" s="683" t="str">
        <f t="shared" si="85"/>
        <v/>
      </c>
      <c r="DA784" s="683" t="str">
        <f t="shared" si="86"/>
        <v/>
      </c>
      <c r="DB784" s="683" t="str">
        <f t="shared" si="87"/>
        <v/>
      </c>
      <c r="DC784" s="683" t="str">
        <f t="shared" si="88"/>
        <v/>
      </c>
      <c r="DD784" s="683" t="str">
        <f t="shared" si="89"/>
        <v/>
      </c>
      <c r="DE784" s="683" t="str">
        <f t="shared" si="90"/>
        <v/>
      </c>
      <c r="DF784" s="683" t="str">
        <f t="shared" si="91"/>
        <v/>
      </c>
      <c r="DG784" s="683" t="str">
        <f t="shared" si="92"/>
        <v/>
      </c>
      <c r="DH784" s="683" t="str">
        <f t="shared" si="93"/>
        <v/>
      </c>
      <c r="DI784" s="683" t="str">
        <f t="shared" si="94"/>
        <v/>
      </c>
      <c r="DJ784" s="683" t="str">
        <f t="shared" si="95"/>
        <v/>
      </c>
      <c r="DK784" s="683" t="str">
        <f t="shared" si="96"/>
        <v/>
      </c>
      <c r="DL784" s="683" t="str">
        <f t="shared" si="97"/>
        <v/>
      </c>
      <c r="DM784" s="683" t="str">
        <f t="shared" si="98"/>
        <v/>
      </c>
      <c r="DN784" s="683" t="str">
        <f t="shared" si="99"/>
        <v/>
      </c>
      <c r="DO784" s="683" t="str">
        <f t="shared" si="100"/>
        <v/>
      </c>
      <c r="DP784" s="683" t="str">
        <f t="shared" si="101"/>
        <v/>
      </c>
      <c r="DQ784" s="683" t="str">
        <f t="shared" si="102"/>
        <v/>
      </c>
      <c r="DR784" s="683" t="str">
        <f t="shared" si="103"/>
        <v/>
      </c>
      <c r="DS784" s="683" t="str">
        <f t="shared" si="104"/>
        <v/>
      </c>
      <c r="DT784" s="683" t="str">
        <f t="shared" si="105"/>
        <v/>
      </c>
      <c r="DU784" s="683" t="str">
        <f t="shared" si="106"/>
        <v/>
      </c>
      <c r="DV784" s="683" t="str">
        <f t="shared" si="107"/>
        <v/>
      </c>
      <c r="DW784" s="683" t="str">
        <f t="shared" si="108"/>
        <v/>
      </c>
      <c r="DX784" s="683" t="str">
        <f t="shared" si="109"/>
        <v/>
      </c>
      <c r="DY784" s="683" t="str">
        <f t="shared" si="110"/>
        <v/>
      </c>
      <c r="DZ784" s="683" t="str">
        <f t="shared" si="111"/>
        <v/>
      </c>
      <c r="EA784" s="683" t="str">
        <f t="shared" si="112"/>
        <v/>
      </c>
      <c r="EB784" s="683" t="str">
        <f t="shared" si="113"/>
        <v/>
      </c>
      <c r="EC784" s="683" t="str">
        <f t="shared" si="114"/>
        <v/>
      </c>
      <c r="ED784" s="683" t="str">
        <f t="shared" si="115"/>
        <v/>
      </c>
      <c r="EE784" s="683" t="str">
        <f t="shared" si="116"/>
        <v/>
      </c>
      <c r="EF784" s="683" t="str">
        <f t="shared" si="117"/>
        <v/>
      </c>
      <c r="EG784" s="683" t="str">
        <f t="shared" si="118"/>
        <v/>
      </c>
      <c r="EH784" s="683" t="str">
        <f t="shared" si="119"/>
        <v/>
      </c>
      <c r="EI784" s="683" t="str">
        <f t="shared" si="120"/>
        <v/>
      </c>
      <c r="EJ784" s="683" t="str">
        <f t="shared" si="121"/>
        <v/>
      </c>
      <c r="EK784" s="683" t="str">
        <f t="shared" si="122"/>
        <v/>
      </c>
      <c r="EL784" s="683" t="str">
        <f t="shared" si="123"/>
        <v/>
      </c>
      <c r="EM784" s="683" t="str">
        <f t="shared" si="124"/>
        <v/>
      </c>
      <c r="EN784" s="683" t="str">
        <f t="shared" si="125"/>
        <v/>
      </c>
      <c r="EO784" s="683" t="str">
        <f t="shared" si="126"/>
        <v/>
      </c>
      <c r="EP784" s="683" t="str">
        <f t="shared" si="127"/>
        <v/>
      </c>
      <c r="EQ784" s="683" t="str">
        <f t="shared" si="128"/>
        <v/>
      </c>
      <c r="ER784" s="683" t="str">
        <f t="shared" si="129"/>
        <v/>
      </c>
      <c r="ES784" s="683" t="str">
        <f t="shared" si="130"/>
        <v/>
      </c>
      <c r="ET784" s="683" t="str">
        <f t="shared" si="131"/>
        <v/>
      </c>
      <c r="EU784" s="683" t="str">
        <f t="shared" si="132"/>
        <v/>
      </c>
      <c r="EV784" s="683" t="str">
        <f t="shared" si="133"/>
        <v/>
      </c>
      <c r="EW784" s="1854" t="str">
        <f t="shared" si="134"/>
        <v/>
      </c>
      <c r="EX784" s="1854" t="str">
        <f t="shared" si="135"/>
        <v/>
      </c>
      <c r="EY784" s="1854" t="str">
        <f t="shared" si="136"/>
        <v/>
      </c>
      <c r="EZ784" s="1854" t="str">
        <f t="shared" si="137"/>
        <v/>
      </c>
      <c r="FA784" s="1854" t="str">
        <f t="shared" si="138"/>
        <v/>
      </c>
      <c r="FB784" s="1854" t="str">
        <f t="shared" si="139"/>
        <v/>
      </c>
      <c r="FC784" s="1854" t="str">
        <f t="shared" si="140"/>
        <v/>
      </c>
      <c r="FD784" s="1854" t="str">
        <f t="shared" si="141"/>
        <v/>
      </c>
      <c r="FE784" s="1854" t="str">
        <f t="shared" si="142"/>
        <v/>
      </c>
      <c r="FF784" s="1854" t="str">
        <f t="shared" si="143"/>
        <v/>
      </c>
      <c r="FG784" s="1854" t="str">
        <f t="shared" si="144"/>
        <v/>
      </c>
      <c r="FH784" s="1854" t="str">
        <f t="shared" si="145"/>
        <v/>
      </c>
      <c r="FI784" s="1854" t="str">
        <f t="shared" si="146"/>
        <v/>
      </c>
      <c r="FJ784" s="1854" t="str">
        <f t="shared" si="147"/>
        <v/>
      </c>
      <c r="FK784" s="1854" t="str">
        <f t="shared" si="148"/>
        <v/>
      </c>
      <c r="FL784" s="1854" t="str">
        <f t="shared" si="149"/>
        <v/>
      </c>
      <c r="FM784" s="1854" t="str">
        <f t="shared" si="150"/>
        <v/>
      </c>
      <c r="FN784" s="1854" t="str">
        <f t="shared" si="151"/>
        <v/>
      </c>
      <c r="FO784" s="1854" t="str">
        <f t="shared" si="152"/>
        <v/>
      </c>
      <c r="FP784" s="1854" t="str">
        <f t="shared" si="153"/>
        <v/>
      </c>
      <c r="FQ784" s="1854" t="str">
        <f t="shared" si="154"/>
        <v/>
      </c>
      <c r="FR784" s="1854" t="str">
        <f t="shared" si="155"/>
        <v/>
      </c>
      <c r="FS784" s="1854" t="str">
        <f t="shared" si="156"/>
        <v/>
      </c>
      <c r="FT784" s="1854" t="str">
        <f t="shared" si="157"/>
        <v/>
      </c>
      <c r="FU784" s="1854" t="str">
        <f t="shared" si="158"/>
        <v/>
      </c>
      <c r="FV784" s="1854" t="str">
        <f t="shared" si="159"/>
        <v/>
      </c>
      <c r="FW784" s="1854" t="str">
        <f t="shared" si="160"/>
        <v/>
      </c>
      <c r="FX784" s="1854" t="str">
        <f t="shared" si="161"/>
        <v/>
      </c>
      <c r="FY784" s="1854" t="str">
        <f t="shared" si="162"/>
        <v/>
      </c>
      <c r="FZ784" s="1854" t="str">
        <f t="shared" si="163"/>
        <v/>
      </c>
      <c r="GA784" s="1854" t="str">
        <f t="shared" si="164"/>
        <v/>
      </c>
      <c r="GB784" s="1854" t="str">
        <f t="shared" si="165"/>
        <v/>
      </c>
      <c r="GC784" s="1854" t="str">
        <f t="shared" si="166"/>
        <v/>
      </c>
      <c r="GD784" s="1854" t="str">
        <f t="shared" si="167"/>
        <v/>
      </c>
      <c r="GE784" s="1854" t="str">
        <f t="shared" si="168"/>
        <v/>
      </c>
      <c r="GF784" s="1854" t="str">
        <f t="shared" si="169"/>
        <v/>
      </c>
      <c r="GG784" s="1854" t="str">
        <f t="shared" si="170"/>
        <v/>
      </c>
      <c r="GH784" s="1854" t="str">
        <f t="shared" si="171"/>
        <v/>
      </c>
      <c r="GI784" s="1854" t="str">
        <f t="shared" si="172"/>
        <v/>
      </c>
      <c r="GJ784" s="1854" t="str">
        <f t="shared" si="173"/>
        <v/>
      </c>
      <c r="GK784" s="1854" t="str">
        <f t="shared" si="174"/>
        <v/>
      </c>
      <c r="GL784" s="1854" t="str">
        <f t="shared" si="175"/>
        <v/>
      </c>
      <c r="GM784" s="1854" t="str">
        <f t="shared" si="176"/>
        <v/>
      </c>
      <c r="GN784" s="1854" t="str">
        <f t="shared" si="177"/>
        <v/>
      </c>
      <c r="GO784" s="1854" t="str">
        <f t="shared" si="178"/>
        <v/>
      </c>
      <c r="GP784" s="1854" t="str">
        <f t="shared" si="179"/>
        <v/>
      </c>
      <c r="GQ784" s="1854" t="str">
        <f t="shared" si="180"/>
        <v/>
      </c>
      <c r="GR784" s="1854" t="str">
        <f t="shared" si="181"/>
        <v/>
      </c>
      <c r="GS784" s="1854" t="str">
        <f t="shared" si="182"/>
        <v/>
      </c>
      <c r="GT784" s="1854" t="str">
        <f t="shared" si="183"/>
        <v/>
      </c>
      <c r="GU784" s="1854" t="str">
        <f t="shared" si="184"/>
        <v/>
      </c>
      <c r="GV784" s="1854" t="str">
        <f t="shared" si="185"/>
        <v/>
      </c>
      <c r="GW784" s="1854" t="str">
        <f t="shared" si="186"/>
        <v/>
      </c>
      <c r="GX784" s="1854" t="str">
        <f t="shared" si="187"/>
        <v/>
      </c>
      <c r="GY784" s="1854" t="str">
        <f t="shared" si="188"/>
        <v/>
      </c>
      <c r="GZ784" s="1854" t="str">
        <f t="shared" si="189"/>
        <v/>
      </c>
      <c r="HA784" s="1854" t="str">
        <f t="shared" si="190"/>
        <v/>
      </c>
      <c r="HB784" s="1854" t="str">
        <f t="shared" si="191"/>
        <v/>
      </c>
      <c r="HC784" s="1854" t="str">
        <f t="shared" si="192"/>
        <v/>
      </c>
      <c r="HD784" s="1854" t="str">
        <f t="shared" si="193"/>
        <v/>
      </c>
      <c r="HE784" s="1854" t="str">
        <f t="shared" si="194"/>
        <v/>
      </c>
      <c r="HF784" s="1854" t="str">
        <f t="shared" si="195"/>
        <v/>
      </c>
      <c r="HG784" s="1854" t="str">
        <f t="shared" si="196"/>
        <v/>
      </c>
      <c r="HH784" s="1854" t="str">
        <f t="shared" si="197"/>
        <v/>
      </c>
      <c r="HI784" s="1854" t="str">
        <f t="shared" si="198"/>
        <v/>
      </c>
      <c r="HJ784" s="1854" t="str">
        <f t="shared" si="199"/>
        <v/>
      </c>
      <c r="HK784" s="1854" t="str">
        <f t="shared" si="200"/>
        <v/>
      </c>
      <c r="HL784" s="1854" t="str">
        <f t="shared" si="201"/>
        <v/>
      </c>
      <c r="HM784" s="1854" t="str">
        <f t="shared" si="202"/>
        <v/>
      </c>
      <c r="HN784" s="1854" t="str">
        <f t="shared" si="203"/>
        <v/>
      </c>
      <c r="HO784" s="1854" t="str">
        <f t="shared" si="204"/>
        <v/>
      </c>
      <c r="HP784" s="1854" t="str">
        <f t="shared" si="205"/>
        <v/>
      </c>
      <c r="HQ784" s="1854" t="str">
        <f t="shared" si="206"/>
        <v/>
      </c>
      <c r="HR784" s="1854" t="str">
        <f t="shared" si="207"/>
        <v/>
      </c>
      <c r="HS784" s="1854" t="str">
        <f t="shared" si="208"/>
        <v/>
      </c>
      <c r="HT784" s="1854" t="str">
        <f t="shared" si="209"/>
        <v/>
      </c>
      <c r="HU784" s="1854" t="str">
        <f t="shared" si="210"/>
        <v/>
      </c>
      <c r="HV784" s="1854" t="str">
        <f t="shared" si="211"/>
        <v/>
      </c>
      <c r="HW784" s="1854" t="str">
        <f t="shared" si="212"/>
        <v/>
      </c>
      <c r="HX784" s="1854" t="str">
        <f t="shared" si="213"/>
        <v/>
      </c>
      <c r="HY784" s="1854" t="str">
        <f t="shared" si="214"/>
        <v/>
      </c>
      <c r="HZ784" s="1854" t="str">
        <f t="shared" si="215"/>
        <v/>
      </c>
      <c r="IA784" s="1854" t="str">
        <f t="shared" si="216"/>
        <v/>
      </c>
      <c r="IB784" s="1854" t="str">
        <f t="shared" si="217"/>
        <v/>
      </c>
      <c r="IC784" s="1854" t="str">
        <f t="shared" si="218"/>
        <v/>
      </c>
      <c r="ID784" s="1826" t="str">
        <f t="shared" si="219"/>
        <v/>
      </c>
      <c r="IE784" s="1826" t="str">
        <f t="shared" si="220"/>
        <v/>
      </c>
      <c r="IF784" s="1826" t="str">
        <f t="shared" si="221"/>
        <v/>
      </c>
      <c r="IG784" s="1826" t="str">
        <f t="shared" si="222"/>
        <v/>
      </c>
      <c r="IH784" s="1826" t="str">
        <f t="shared" si="223"/>
        <v/>
      </c>
      <c r="II784" s="683" t="str">
        <f t="shared" si="224"/>
        <v/>
      </c>
      <c r="IJ784" s="683" t="str">
        <f t="shared" si="225"/>
        <v/>
      </c>
      <c r="IK784" s="683" t="str">
        <f t="shared" si="226"/>
        <v/>
      </c>
      <c r="IL784" s="683" t="str">
        <f t="shared" si="227"/>
        <v/>
      </c>
      <c r="IM784" s="683" t="str">
        <f t="shared" si="228"/>
        <v/>
      </c>
      <c r="IN784" s="683" t="str">
        <f t="shared" si="229"/>
        <v/>
      </c>
      <c r="IO784" s="683" t="str">
        <f t="shared" si="230"/>
        <v/>
      </c>
      <c r="IP784" s="683" t="str">
        <f t="shared" si="231"/>
        <v/>
      </c>
      <c r="IQ784" s="683" t="str">
        <f t="shared" si="232"/>
        <v/>
      </c>
      <c r="IR784" s="683" t="str">
        <f t="shared" si="233"/>
        <v/>
      </c>
      <c r="IS784" s="683" t="str">
        <f t="shared" si="234"/>
        <v/>
      </c>
      <c r="IT784" s="683" t="str">
        <f t="shared" si="235"/>
        <v/>
      </c>
      <c r="IU784" s="683" t="str">
        <f t="shared" si="236"/>
        <v/>
      </c>
      <c r="IV784" s="683" t="str">
        <f t="shared" si="237"/>
        <v/>
      </c>
      <c r="IW784" s="683" t="str">
        <f t="shared" si="238"/>
        <v/>
      </c>
      <c r="IX784" s="683" t="str">
        <f t="shared" si="239"/>
        <v/>
      </c>
      <c r="IY784" s="683" t="str">
        <f t="shared" si="240"/>
        <v/>
      </c>
      <c r="IZ784" s="683" t="str">
        <f t="shared" si="241"/>
        <v/>
      </c>
      <c r="JA784" s="683" t="str">
        <f t="shared" si="242"/>
        <v/>
      </c>
      <c r="JB784" s="683" t="str">
        <f t="shared" si="243"/>
        <v/>
      </c>
      <c r="JC784" s="1824">
        <f t="shared" si="244"/>
        <v>0</v>
      </c>
      <c r="JD784" s="1824">
        <f t="shared" si="245"/>
        <v>0</v>
      </c>
      <c r="JE784" s="1824">
        <f t="shared" si="246"/>
        <v>0</v>
      </c>
      <c r="JF784" s="1824">
        <f t="shared" si="247"/>
        <v>0</v>
      </c>
      <c r="JG784" s="1824">
        <f t="shared" si="248"/>
        <v>0</v>
      </c>
      <c r="JH784" s="1824">
        <f t="shared" si="249"/>
        <v>0</v>
      </c>
      <c r="JI784" s="1824">
        <f t="shared" si="250"/>
        <v>0</v>
      </c>
      <c r="JJ784" s="1824">
        <f t="shared" si="251"/>
        <v>0</v>
      </c>
      <c r="JK784" s="1824">
        <f t="shared" si="252"/>
        <v>0</v>
      </c>
      <c r="JL784" s="1824">
        <f t="shared" si="253"/>
        <v>0</v>
      </c>
      <c r="JM784" s="1824">
        <f t="shared" si="254"/>
        <v>0</v>
      </c>
      <c r="JN784" s="1824">
        <f t="shared" si="255"/>
        <v>0</v>
      </c>
      <c r="JO784" s="1824">
        <f t="shared" si="256"/>
        <v>0</v>
      </c>
      <c r="JP784" s="1824">
        <f t="shared" si="257"/>
        <v>0</v>
      </c>
      <c r="JQ784" s="1824">
        <f t="shared" si="258"/>
        <v>0</v>
      </c>
    </row>
    <row r="785" spans="1:277" ht="12" customHeight="1">
      <c r="A785" s="1837" t="str">
        <f t="shared" si="1"/>
        <v/>
      </c>
      <c r="B785" s="1846" t="str">
        <f>'Part VI-Revenues &amp; Expenses'!B28</f>
        <v>&lt;&lt;Select&gt;&gt;</v>
      </c>
      <c r="C785" s="1847">
        <f>'Part VI-Revenues &amp; Expenses'!C28</f>
        <v>0</v>
      </c>
      <c r="D785" s="1848">
        <f>'Part VI-Revenues &amp; Expenses'!D28</f>
        <v>0</v>
      </c>
      <c r="E785" s="1849">
        <f>'Part VI-Revenues &amp; Expenses'!E28</f>
        <v>0</v>
      </c>
      <c r="F785" s="1849">
        <f>'Part VI-Revenues &amp; Expenses'!F28</f>
        <v>0</v>
      </c>
      <c r="G785" s="1849">
        <f>'Part VI-Revenues &amp; Expenses'!G28</f>
        <v>0</v>
      </c>
      <c r="H785" s="1849">
        <f>'Part VI-Revenues &amp; Expenses'!H28</f>
        <v>0</v>
      </c>
      <c r="I785" s="1849">
        <f>'Part VI-Revenues &amp; Expenses'!I28</f>
        <v>0</v>
      </c>
      <c r="J785" s="1850">
        <f>'Part VI-Revenues &amp; Expenses'!J28</f>
        <v>0</v>
      </c>
      <c r="K785" s="1851">
        <f t="shared" si="2"/>
        <v>0</v>
      </c>
      <c r="L785" s="1851">
        <f t="shared" si="3"/>
        <v>0</v>
      </c>
      <c r="M785" s="1725">
        <f>'Part VI-Revenues &amp; Expenses'!M28</f>
        <v>0</v>
      </c>
      <c r="N785" s="1725">
        <f>'Part VI-Revenues &amp; Expenses'!N28</f>
        <v>0</v>
      </c>
      <c r="O785" s="1725">
        <f>'Part VI-Revenues &amp; Expenses'!O28</f>
        <v>0</v>
      </c>
      <c r="P785" s="1831">
        <f>'Part VI-Revenues &amp; Expenses'!P28</f>
        <v>0</v>
      </c>
      <c r="Q785" s="1852" t="str">
        <f>'Part VI-Revenues &amp; Expenses'!Q28</f>
        <v/>
      </c>
      <c r="R785" s="1853" t="str">
        <f>'Part VI-Revenues &amp; Expenses'!R28</f>
        <v/>
      </c>
      <c r="S785" s="1852">
        <f>'Part VI-Revenues &amp; Expenses'!S28</f>
        <v>0</v>
      </c>
      <c r="T785" s="1853">
        <f>'Part VI-Revenues &amp; Expenses'!T28</f>
        <v>0</v>
      </c>
      <c r="U785" s="1775"/>
      <c r="V785" s="1775"/>
      <c r="W785" s="683" t="str">
        <f t="shared" si="4"/>
        <v/>
      </c>
      <c r="X785" s="683" t="str">
        <f t="shared" si="5"/>
        <v/>
      </c>
      <c r="Y785" s="683" t="str">
        <f t="shared" si="6"/>
        <v/>
      </c>
      <c r="Z785" s="683" t="str">
        <f t="shared" si="7"/>
        <v/>
      </c>
      <c r="AA785" s="683" t="str">
        <f t="shared" si="8"/>
        <v/>
      </c>
      <c r="AB785" s="683" t="str">
        <f t="shared" si="9"/>
        <v/>
      </c>
      <c r="AC785" s="683" t="str">
        <f t="shared" si="10"/>
        <v/>
      </c>
      <c r="AD785" s="683" t="str">
        <f t="shared" si="11"/>
        <v/>
      </c>
      <c r="AE785" s="683" t="str">
        <f t="shared" si="12"/>
        <v/>
      </c>
      <c r="AF785" s="683" t="str">
        <f t="shared" si="13"/>
        <v/>
      </c>
      <c r="AG785" s="683" t="str">
        <f t="shared" si="14"/>
        <v/>
      </c>
      <c r="AH785" s="683" t="str">
        <f t="shared" si="15"/>
        <v/>
      </c>
      <c r="AI785" s="683" t="str">
        <f t="shared" si="16"/>
        <v/>
      </c>
      <c r="AJ785" s="683" t="str">
        <f t="shared" si="17"/>
        <v/>
      </c>
      <c r="AK785" s="683" t="str">
        <f t="shared" si="18"/>
        <v/>
      </c>
      <c r="AL785" s="683" t="str">
        <f t="shared" si="19"/>
        <v/>
      </c>
      <c r="AM785" s="683" t="str">
        <f t="shared" si="20"/>
        <v/>
      </c>
      <c r="AN785" s="683" t="str">
        <f t="shared" si="21"/>
        <v/>
      </c>
      <c r="AO785" s="683" t="str">
        <f t="shared" si="22"/>
        <v/>
      </c>
      <c r="AP785" s="683" t="str">
        <f t="shared" si="23"/>
        <v/>
      </c>
      <c r="AQ785" s="683" t="str">
        <f t="shared" si="24"/>
        <v/>
      </c>
      <c r="AR785" s="683" t="str">
        <f t="shared" si="25"/>
        <v/>
      </c>
      <c r="AS785" s="683" t="str">
        <f t="shared" si="26"/>
        <v/>
      </c>
      <c r="AT785" s="683" t="str">
        <f t="shared" si="27"/>
        <v/>
      </c>
      <c r="AU785" s="683" t="str">
        <f t="shared" si="28"/>
        <v/>
      </c>
      <c r="AV785" s="683" t="str">
        <f t="shared" si="29"/>
        <v/>
      </c>
      <c r="AW785" s="683" t="str">
        <f t="shared" si="30"/>
        <v/>
      </c>
      <c r="AX785" s="683" t="str">
        <f t="shared" si="31"/>
        <v/>
      </c>
      <c r="AY785" s="683" t="str">
        <f t="shared" si="32"/>
        <v/>
      </c>
      <c r="AZ785" s="683" t="str">
        <f t="shared" si="33"/>
        <v/>
      </c>
      <c r="BA785" s="683" t="str">
        <f t="shared" si="34"/>
        <v/>
      </c>
      <c r="BB785" s="683" t="str">
        <f t="shared" si="35"/>
        <v/>
      </c>
      <c r="BC785" s="683" t="str">
        <f t="shared" si="36"/>
        <v/>
      </c>
      <c r="BD785" s="683" t="str">
        <f t="shared" si="37"/>
        <v/>
      </c>
      <c r="BE785" s="683" t="str">
        <f t="shared" si="38"/>
        <v/>
      </c>
      <c r="BF785" s="683" t="str">
        <f t="shared" si="39"/>
        <v/>
      </c>
      <c r="BG785" s="683" t="str">
        <f t="shared" si="40"/>
        <v/>
      </c>
      <c r="BH785" s="683" t="str">
        <f t="shared" si="41"/>
        <v/>
      </c>
      <c r="BI785" s="683" t="str">
        <f t="shared" si="42"/>
        <v/>
      </c>
      <c r="BJ785" s="683" t="str">
        <f t="shared" si="43"/>
        <v/>
      </c>
      <c r="BK785" s="683" t="str">
        <f t="shared" si="44"/>
        <v/>
      </c>
      <c r="BL785" s="683" t="str">
        <f t="shared" si="45"/>
        <v/>
      </c>
      <c r="BM785" s="683" t="str">
        <f t="shared" si="46"/>
        <v/>
      </c>
      <c r="BN785" s="683" t="str">
        <f t="shared" si="47"/>
        <v/>
      </c>
      <c r="BO785" s="683" t="str">
        <f t="shared" si="48"/>
        <v/>
      </c>
      <c r="BP785" s="683" t="str">
        <f t="shared" si="49"/>
        <v/>
      </c>
      <c r="BQ785" s="683" t="str">
        <f t="shared" si="50"/>
        <v/>
      </c>
      <c r="BR785" s="683" t="str">
        <f t="shared" si="51"/>
        <v/>
      </c>
      <c r="BS785" s="683" t="str">
        <f t="shared" si="52"/>
        <v/>
      </c>
      <c r="BT785" s="683" t="str">
        <f t="shared" si="53"/>
        <v/>
      </c>
      <c r="BU785" s="683" t="str">
        <f t="shared" si="54"/>
        <v/>
      </c>
      <c r="BV785" s="683" t="str">
        <f t="shared" si="55"/>
        <v/>
      </c>
      <c r="BW785" s="683" t="str">
        <f t="shared" si="56"/>
        <v/>
      </c>
      <c r="BX785" s="683" t="str">
        <f t="shared" si="57"/>
        <v/>
      </c>
      <c r="BY785" s="683" t="str">
        <f t="shared" si="58"/>
        <v/>
      </c>
      <c r="BZ785" s="683" t="str">
        <f t="shared" si="59"/>
        <v/>
      </c>
      <c r="CA785" s="683" t="str">
        <f t="shared" si="60"/>
        <v/>
      </c>
      <c r="CB785" s="683" t="str">
        <f t="shared" si="61"/>
        <v/>
      </c>
      <c r="CC785" s="683" t="str">
        <f t="shared" si="62"/>
        <v/>
      </c>
      <c r="CD785" s="683" t="str">
        <f t="shared" si="63"/>
        <v/>
      </c>
      <c r="CE785" s="683" t="str">
        <f t="shared" si="64"/>
        <v/>
      </c>
      <c r="CF785" s="683" t="str">
        <f t="shared" si="65"/>
        <v/>
      </c>
      <c r="CG785" s="683" t="str">
        <f t="shared" si="66"/>
        <v/>
      </c>
      <c r="CH785" s="683" t="str">
        <f t="shared" si="67"/>
        <v/>
      </c>
      <c r="CI785" s="683" t="str">
        <f t="shared" si="68"/>
        <v/>
      </c>
      <c r="CJ785" s="683" t="str">
        <f t="shared" si="69"/>
        <v/>
      </c>
      <c r="CK785" s="683" t="str">
        <f t="shared" si="70"/>
        <v/>
      </c>
      <c r="CL785" s="683" t="str">
        <f t="shared" si="71"/>
        <v/>
      </c>
      <c r="CM785" s="683" t="str">
        <f t="shared" si="72"/>
        <v/>
      </c>
      <c r="CN785" s="683" t="str">
        <f t="shared" si="73"/>
        <v/>
      </c>
      <c r="CO785" s="683" t="str">
        <f t="shared" si="74"/>
        <v/>
      </c>
      <c r="CP785" s="683" t="str">
        <f t="shared" si="75"/>
        <v/>
      </c>
      <c r="CQ785" s="683" t="str">
        <f t="shared" si="76"/>
        <v/>
      </c>
      <c r="CR785" s="683" t="str">
        <f t="shared" si="77"/>
        <v/>
      </c>
      <c r="CS785" s="683" t="str">
        <f t="shared" si="78"/>
        <v/>
      </c>
      <c r="CT785" s="683" t="str">
        <f t="shared" si="79"/>
        <v/>
      </c>
      <c r="CU785" s="683" t="str">
        <f t="shared" si="80"/>
        <v/>
      </c>
      <c r="CV785" s="683" t="str">
        <f t="shared" si="81"/>
        <v/>
      </c>
      <c r="CW785" s="683" t="str">
        <f t="shared" si="82"/>
        <v/>
      </c>
      <c r="CX785" s="683" t="str">
        <f t="shared" si="83"/>
        <v/>
      </c>
      <c r="CY785" s="683" t="str">
        <f t="shared" si="84"/>
        <v/>
      </c>
      <c r="CZ785" s="683" t="str">
        <f t="shared" si="85"/>
        <v/>
      </c>
      <c r="DA785" s="683" t="str">
        <f t="shared" si="86"/>
        <v/>
      </c>
      <c r="DB785" s="683" t="str">
        <f t="shared" si="87"/>
        <v/>
      </c>
      <c r="DC785" s="683" t="str">
        <f t="shared" si="88"/>
        <v/>
      </c>
      <c r="DD785" s="683" t="str">
        <f t="shared" si="89"/>
        <v/>
      </c>
      <c r="DE785" s="683" t="str">
        <f t="shared" si="90"/>
        <v/>
      </c>
      <c r="DF785" s="683" t="str">
        <f t="shared" si="91"/>
        <v/>
      </c>
      <c r="DG785" s="683" t="str">
        <f t="shared" si="92"/>
        <v/>
      </c>
      <c r="DH785" s="683" t="str">
        <f t="shared" si="93"/>
        <v/>
      </c>
      <c r="DI785" s="683" t="str">
        <f t="shared" si="94"/>
        <v/>
      </c>
      <c r="DJ785" s="683" t="str">
        <f t="shared" si="95"/>
        <v/>
      </c>
      <c r="DK785" s="683" t="str">
        <f t="shared" si="96"/>
        <v/>
      </c>
      <c r="DL785" s="683" t="str">
        <f t="shared" si="97"/>
        <v/>
      </c>
      <c r="DM785" s="683" t="str">
        <f t="shared" si="98"/>
        <v/>
      </c>
      <c r="DN785" s="683" t="str">
        <f t="shared" si="99"/>
        <v/>
      </c>
      <c r="DO785" s="683" t="str">
        <f t="shared" si="100"/>
        <v/>
      </c>
      <c r="DP785" s="683" t="str">
        <f t="shared" si="101"/>
        <v/>
      </c>
      <c r="DQ785" s="683" t="str">
        <f t="shared" si="102"/>
        <v/>
      </c>
      <c r="DR785" s="683" t="str">
        <f t="shared" si="103"/>
        <v/>
      </c>
      <c r="DS785" s="683" t="str">
        <f t="shared" si="104"/>
        <v/>
      </c>
      <c r="DT785" s="683" t="str">
        <f t="shared" si="105"/>
        <v/>
      </c>
      <c r="DU785" s="683" t="str">
        <f t="shared" si="106"/>
        <v/>
      </c>
      <c r="DV785" s="683" t="str">
        <f t="shared" si="107"/>
        <v/>
      </c>
      <c r="DW785" s="683" t="str">
        <f t="shared" si="108"/>
        <v/>
      </c>
      <c r="DX785" s="683" t="str">
        <f t="shared" si="109"/>
        <v/>
      </c>
      <c r="DY785" s="683" t="str">
        <f t="shared" si="110"/>
        <v/>
      </c>
      <c r="DZ785" s="683" t="str">
        <f t="shared" si="111"/>
        <v/>
      </c>
      <c r="EA785" s="683" t="str">
        <f t="shared" si="112"/>
        <v/>
      </c>
      <c r="EB785" s="683" t="str">
        <f t="shared" si="113"/>
        <v/>
      </c>
      <c r="EC785" s="683" t="str">
        <f t="shared" si="114"/>
        <v/>
      </c>
      <c r="ED785" s="683" t="str">
        <f t="shared" si="115"/>
        <v/>
      </c>
      <c r="EE785" s="683" t="str">
        <f t="shared" si="116"/>
        <v/>
      </c>
      <c r="EF785" s="683" t="str">
        <f t="shared" si="117"/>
        <v/>
      </c>
      <c r="EG785" s="683" t="str">
        <f t="shared" si="118"/>
        <v/>
      </c>
      <c r="EH785" s="683" t="str">
        <f t="shared" si="119"/>
        <v/>
      </c>
      <c r="EI785" s="683" t="str">
        <f t="shared" si="120"/>
        <v/>
      </c>
      <c r="EJ785" s="683" t="str">
        <f t="shared" si="121"/>
        <v/>
      </c>
      <c r="EK785" s="683" t="str">
        <f t="shared" si="122"/>
        <v/>
      </c>
      <c r="EL785" s="683" t="str">
        <f t="shared" si="123"/>
        <v/>
      </c>
      <c r="EM785" s="683" t="str">
        <f t="shared" si="124"/>
        <v/>
      </c>
      <c r="EN785" s="683" t="str">
        <f t="shared" si="125"/>
        <v/>
      </c>
      <c r="EO785" s="683" t="str">
        <f t="shared" si="126"/>
        <v/>
      </c>
      <c r="EP785" s="683" t="str">
        <f t="shared" si="127"/>
        <v/>
      </c>
      <c r="EQ785" s="683" t="str">
        <f t="shared" si="128"/>
        <v/>
      </c>
      <c r="ER785" s="683" t="str">
        <f t="shared" si="129"/>
        <v/>
      </c>
      <c r="ES785" s="683" t="str">
        <f t="shared" si="130"/>
        <v/>
      </c>
      <c r="ET785" s="683" t="str">
        <f t="shared" si="131"/>
        <v/>
      </c>
      <c r="EU785" s="683" t="str">
        <f t="shared" si="132"/>
        <v/>
      </c>
      <c r="EV785" s="683" t="str">
        <f t="shared" si="133"/>
        <v/>
      </c>
      <c r="EW785" s="1854" t="str">
        <f t="shared" si="134"/>
        <v/>
      </c>
      <c r="EX785" s="1854" t="str">
        <f t="shared" si="135"/>
        <v/>
      </c>
      <c r="EY785" s="1854" t="str">
        <f t="shared" si="136"/>
        <v/>
      </c>
      <c r="EZ785" s="1854" t="str">
        <f t="shared" si="137"/>
        <v/>
      </c>
      <c r="FA785" s="1854" t="str">
        <f t="shared" si="138"/>
        <v/>
      </c>
      <c r="FB785" s="1854" t="str">
        <f t="shared" si="139"/>
        <v/>
      </c>
      <c r="FC785" s="1854" t="str">
        <f t="shared" si="140"/>
        <v/>
      </c>
      <c r="FD785" s="1854" t="str">
        <f t="shared" si="141"/>
        <v/>
      </c>
      <c r="FE785" s="1854" t="str">
        <f t="shared" si="142"/>
        <v/>
      </c>
      <c r="FF785" s="1854" t="str">
        <f t="shared" si="143"/>
        <v/>
      </c>
      <c r="FG785" s="1854" t="str">
        <f t="shared" si="144"/>
        <v/>
      </c>
      <c r="FH785" s="1854" t="str">
        <f t="shared" si="145"/>
        <v/>
      </c>
      <c r="FI785" s="1854" t="str">
        <f t="shared" si="146"/>
        <v/>
      </c>
      <c r="FJ785" s="1854" t="str">
        <f t="shared" si="147"/>
        <v/>
      </c>
      <c r="FK785" s="1854" t="str">
        <f t="shared" si="148"/>
        <v/>
      </c>
      <c r="FL785" s="1854" t="str">
        <f t="shared" si="149"/>
        <v/>
      </c>
      <c r="FM785" s="1854" t="str">
        <f t="shared" si="150"/>
        <v/>
      </c>
      <c r="FN785" s="1854" t="str">
        <f t="shared" si="151"/>
        <v/>
      </c>
      <c r="FO785" s="1854" t="str">
        <f t="shared" si="152"/>
        <v/>
      </c>
      <c r="FP785" s="1854" t="str">
        <f t="shared" si="153"/>
        <v/>
      </c>
      <c r="FQ785" s="1854" t="str">
        <f t="shared" si="154"/>
        <v/>
      </c>
      <c r="FR785" s="1854" t="str">
        <f t="shared" si="155"/>
        <v/>
      </c>
      <c r="FS785" s="1854" t="str">
        <f t="shared" si="156"/>
        <v/>
      </c>
      <c r="FT785" s="1854" t="str">
        <f t="shared" si="157"/>
        <v/>
      </c>
      <c r="FU785" s="1854" t="str">
        <f t="shared" si="158"/>
        <v/>
      </c>
      <c r="FV785" s="1854" t="str">
        <f t="shared" si="159"/>
        <v/>
      </c>
      <c r="FW785" s="1854" t="str">
        <f t="shared" si="160"/>
        <v/>
      </c>
      <c r="FX785" s="1854" t="str">
        <f t="shared" si="161"/>
        <v/>
      </c>
      <c r="FY785" s="1854" t="str">
        <f t="shared" si="162"/>
        <v/>
      </c>
      <c r="FZ785" s="1854" t="str">
        <f t="shared" si="163"/>
        <v/>
      </c>
      <c r="GA785" s="1854" t="str">
        <f t="shared" si="164"/>
        <v/>
      </c>
      <c r="GB785" s="1854" t="str">
        <f t="shared" si="165"/>
        <v/>
      </c>
      <c r="GC785" s="1854" t="str">
        <f t="shared" si="166"/>
        <v/>
      </c>
      <c r="GD785" s="1854" t="str">
        <f t="shared" si="167"/>
        <v/>
      </c>
      <c r="GE785" s="1854" t="str">
        <f t="shared" si="168"/>
        <v/>
      </c>
      <c r="GF785" s="1854" t="str">
        <f t="shared" si="169"/>
        <v/>
      </c>
      <c r="GG785" s="1854" t="str">
        <f t="shared" si="170"/>
        <v/>
      </c>
      <c r="GH785" s="1854" t="str">
        <f t="shared" si="171"/>
        <v/>
      </c>
      <c r="GI785" s="1854" t="str">
        <f t="shared" si="172"/>
        <v/>
      </c>
      <c r="GJ785" s="1854" t="str">
        <f t="shared" si="173"/>
        <v/>
      </c>
      <c r="GK785" s="1854" t="str">
        <f t="shared" si="174"/>
        <v/>
      </c>
      <c r="GL785" s="1854" t="str">
        <f t="shared" si="175"/>
        <v/>
      </c>
      <c r="GM785" s="1854" t="str">
        <f t="shared" si="176"/>
        <v/>
      </c>
      <c r="GN785" s="1854" t="str">
        <f t="shared" si="177"/>
        <v/>
      </c>
      <c r="GO785" s="1854" t="str">
        <f t="shared" si="178"/>
        <v/>
      </c>
      <c r="GP785" s="1854" t="str">
        <f t="shared" si="179"/>
        <v/>
      </c>
      <c r="GQ785" s="1854" t="str">
        <f t="shared" si="180"/>
        <v/>
      </c>
      <c r="GR785" s="1854" t="str">
        <f t="shared" si="181"/>
        <v/>
      </c>
      <c r="GS785" s="1854" t="str">
        <f t="shared" si="182"/>
        <v/>
      </c>
      <c r="GT785" s="1854" t="str">
        <f t="shared" si="183"/>
        <v/>
      </c>
      <c r="GU785" s="1854" t="str">
        <f t="shared" si="184"/>
        <v/>
      </c>
      <c r="GV785" s="1854" t="str">
        <f t="shared" si="185"/>
        <v/>
      </c>
      <c r="GW785" s="1854" t="str">
        <f t="shared" si="186"/>
        <v/>
      </c>
      <c r="GX785" s="1854" t="str">
        <f t="shared" si="187"/>
        <v/>
      </c>
      <c r="GY785" s="1854" t="str">
        <f t="shared" si="188"/>
        <v/>
      </c>
      <c r="GZ785" s="1854" t="str">
        <f t="shared" si="189"/>
        <v/>
      </c>
      <c r="HA785" s="1854" t="str">
        <f t="shared" si="190"/>
        <v/>
      </c>
      <c r="HB785" s="1854" t="str">
        <f t="shared" si="191"/>
        <v/>
      </c>
      <c r="HC785" s="1854" t="str">
        <f t="shared" si="192"/>
        <v/>
      </c>
      <c r="HD785" s="1854" t="str">
        <f t="shared" si="193"/>
        <v/>
      </c>
      <c r="HE785" s="1854" t="str">
        <f t="shared" si="194"/>
        <v/>
      </c>
      <c r="HF785" s="1854" t="str">
        <f t="shared" si="195"/>
        <v/>
      </c>
      <c r="HG785" s="1854" t="str">
        <f t="shared" si="196"/>
        <v/>
      </c>
      <c r="HH785" s="1854" t="str">
        <f t="shared" si="197"/>
        <v/>
      </c>
      <c r="HI785" s="1854" t="str">
        <f t="shared" si="198"/>
        <v/>
      </c>
      <c r="HJ785" s="1854" t="str">
        <f t="shared" si="199"/>
        <v/>
      </c>
      <c r="HK785" s="1854" t="str">
        <f t="shared" si="200"/>
        <v/>
      </c>
      <c r="HL785" s="1854" t="str">
        <f t="shared" si="201"/>
        <v/>
      </c>
      <c r="HM785" s="1854" t="str">
        <f t="shared" si="202"/>
        <v/>
      </c>
      <c r="HN785" s="1854" t="str">
        <f t="shared" si="203"/>
        <v/>
      </c>
      <c r="HO785" s="1854" t="str">
        <f t="shared" si="204"/>
        <v/>
      </c>
      <c r="HP785" s="1854" t="str">
        <f t="shared" si="205"/>
        <v/>
      </c>
      <c r="HQ785" s="1854" t="str">
        <f t="shared" si="206"/>
        <v/>
      </c>
      <c r="HR785" s="1854" t="str">
        <f t="shared" si="207"/>
        <v/>
      </c>
      <c r="HS785" s="1854" t="str">
        <f t="shared" si="208"/>
        <v/>
      </c>
      <c r="HT785" s="1854" t="str">
        <f t="shared" si="209"/>
        <v/>
      </c>
      <c r="HU785" s="1854" t="str">
        <f t="shared" si="210"/>
        <v/>
      </c>
      <c r="HV785" s="1854" t="str">
        <f t="shared" si="211"/>
        <v/>
      </c>
      <c r="HW785" s="1854" t="str">
        <f t="shared" si="212"/>
        <v/>
      </c>
      <c r="HX785" s="1854" t="str">
        <f t="shared" si="213"/>
        <v/>
      </c>
      <c r="HY785" s="1854" t="str">
        <f t="shared" si="214"/>
        <v/>
      </c>
      <c r="HZ785" s="1854" t="str">
        <f t="shared" si="215"/>
        <v/>
      </c>
      <c r="IA785" s="1854" t="str">
        <f t="shared" si="216"/>
        <v/>
      </c>
      <c r="IB785" s="1854" t="str">
        <f t="shared" si="217"/>
        <v/>
      </c>
      <c r="IC785" s="1854" t="str">
        <f t="shared" si="218"/>
        <v/>
      </c>
      <c r="ID785" s="1826" t="str">
        <f t="shared" si="219"/>
        <v/>
      </c>
      <c r="IE785" s="1826" t="str">
        <f t="shared" si="220"/>
        <v/>
      </c>
      <c r="IF785" s="1826" t="str">
        <f t="shared" si="221"/>
        <v/>
      </c>
      <c r="IG785" s="1826" t="str">
        <f t="shared" si="222"/>
        <v/>
      </c>
      <c r="IH785" s="1826" t="str">
        <f t="shared" si="223"/>
        <v/>
      </c>
      <c r="II785" s="683" t="str">
        <f t="shared" si="224"/>
        <v/>
      </c>
      <c r="IJ785" s="683" t="str">
        <f t="shared" si="225"/>
        <v/>
      </c>
      <c r="IK785" s="683" t="str">
        <f t="shared" si="226"/>
        <v/>
      </c>
      <c r="IL785" s="683" t="str">
        <f t="shared" si="227"/>
        <v/>
      </c>
      <c r="IM785" s="683" t="str">
        <f t="shared" si="228"/>
        <v/>
      </c>
      <c r="IN785" s="683" t="str">
        <f t="shared" si="229"/>
        <v/>
      </c>
      <c r="IO785" s="683" t="str">
        <f t="shared" si="230"/>
        <v/>
      </c>
      <c r="IP785" s="683" t="str">
        <f t="shared" si="231"/>
        <v/>
      </c>
      <c r="IQ785" s="683" t="str">
        <f t="shared" si="232"/>
        <v/>
      </c>
      <c r="IR785" s="683" t="str">
        <f t="shared" si="233"/>
        <v/>
      </c>
      <c r="IS785" s="683" t="str">
        <f t="shared" si="234"/>
        <v/>
      </c>
      <c r="IT785" s="683" t="str">
        <f t="shared" si="235"/>
        <v/>
      </c>
      <c r="IU785" s="683" t="str">
        <f t="shared" si="236"/>
        <v/>
      </c>
      <c r="IV785" s="683" t="str">
        <f t="shared" si="237"/>
        <v/>
      </c>
      <c r="IW785" s="683" t="str">
        <f t="shared" si="238"/>
        <v/>
      </c>
      <c r="IX785" s="683" t="str">
        <f t="shared" si="239"/>
        <v/>
      </c>
      <c r="IY785" s="683" t="str">
        <f t="shared" si="240"/>
        <v/>
      </c>
      <c r="IZ785" s="683" t="str">
        <f t="shared" si="241"/>
        <v/>
      </c>
      <c r="JA785" s="683" t="str">
        <f t="shared" si="242"/>
        <v/>
      </c>
      <c r="JB785" s="683" t="str">
        <f t="shared" si="243"/>
        <v/>
      </c>
      <c r="JC785" s="1824">
        <f t="shared" si="244"/>
        <v>0</v>
      </c>
      <c r="JD785" s="1824">
        <f t="shared" si="245"/>
        <v>0</v>
      </c>
      <c r="JE785" s="1824">
        <f t="shared" si="246"/>
        <v>0</v>
      </c>
      <c r="JF785" s="1824">
        <f t="shared" si="247"/>
        <v>0</v>
      </c>
      <c r="JG785" s="1824">
        <f t="shared" si="248"/>
        <v>0</v>
      </c>
      <c r="JH785" s="1824">
        <f t="shared" si="249"/>
        <v>0</v>
      </c>
      <c r="JI785" s="1824">
        <f t="shared" si="250"/>
        <v>0</v>
      </c>
      <c r="JJ785" s="1824">
        <f t="shared" si="251"/>
        <v>0</v>
      </c>
      <c r="JK785" s="1824">
        <f t="shared" si="252"/>
        <v>0</v>
      </c>
      <c r="JL785" s="1824">
        <f t="shared" si="253"/>
        <v>0</v>
      </c>
      <c r="JM785" s="1824">
        <f t="shared" si="254"/>
        <v>0</v>
      </c>
      <c r="JN785" s="1824">
        <f t="shared" si="255"/>
        <v>0</v>
      </c>
      <c r="JO785" s="1824">
        <f t="shared" si="256"/>
        <v>0</v>
      </c>
      <c r="JP785" s="1824">
        <f t="shared" si="257"/>
        <v>0</v>
      </c>
      <c r="JQ785" s="1824">
        <f t="shared" si="258"/>
        <v>0</v>
      </c>
    </row>
    <row r="786" spans="1:277" ht="12" customHeight="1">
      <c r="A786" s="1837" t="str">
        <f t="shared" si="1"/>
        <v/>
      </c>
      <c r="B786" s="1846" t="str">
        <f>'Part VI-Revenues &amp; Expenses'!B29</f>
        <v>&lt;&lt;Select&gt;&gt;</v>
      </c>
      <c r="C786" s="1847">
        <f>'Part VI-Revenues &amp; Expenses'!C29</f>
        <v>0</v>
      </c>
      <c r="D786" s="1848">
        <f>'Part VI-Revenues &amp; Expenses'!D29</f>
        <v>0</v>
      </c>
      <c r="E786" s="1849">
        <f>'Part VI-Revenues &amp; Expenses'!E29</f>
        <v>0</v>
      </c>
      <c r="F786" s="1849">
        <f>'Part VI-Revenues &amp; Expenses'!F29</f>
        <v>0</v>
      </c>
      <c r="G786" s="1849">
        <f>'Part VI-Revenues &amp; Expenses'!G29</f>
        <v>0</v>
      </c>
      <c r="H786" s="1849">
        <f>'Part VI-Revenues &amp; Expenses'!H29</f>
        <v>0</v>
      </c>
      <c r="I786" s="1849">
        <f>'Part VI-Revenues &amp; Expenses'!I29</f>
        <v>0</v>
      </c>
      <c r="J786" s="1850">
        <f>'Part VI-Revenues &amp; Expenses'!J29</f>
        <v>0</v>
      </c>
      <c r="K786" s="1851">
        <f t="shared" si="2"/>
        <v>0</v>
      </c>
      <c r="L786" s="1851">
        <f t="shared" si="3"/>
        <v>0</v>
      </c>
      <c r="M786" s="1725">
        <f>'Part VI-Revenues &amp; Expenses'!M29</f>
        <v>0</v>
      </c>
      <c r="N786" s="1725">
        <f>'Part VI-Revenues &amp; Expenses'!N29</f>
        <v>0</v>
      </c>
      <c r="O786" s="1725">
        <f>'Part VI-Revenues &amp; Expenses'!O29</f>
        <v>0</v>
      </c>
      <c r="P786" s="1831">
        <f>'Part VI-Revenues &amp; Expenses'!P29</f>
        <v>0</v>
      </c>
      <c r="Q786" s="1852" t="str">
        <f>'Part VI-Revenues &amp; Expenses'!Q29</f>
        <v/>
      </c>
      <c r="R786" s="1853" t="str">
        <f>'Part VI-Revenues &amp; Expenses'!R29</f>
        <v/>
      </c>
      <c r="S786" s="1852">
        <f>'Part VI-Revenues &amp; Expenses'!S29</f>
        <v>0</v>
      </c>
      <c r="T786" s="1853">
        <f>'Part VI-Revenues &amp; Expenses'!T29</f>
        <v>0</v>
      </c>
      <c r="U786" s="1775"/>
      <c r="V786" s="1775"/>
      <c r="W786" s="683" t="str">
        <f t="shared" si="4"/>
        <v/>
      </c>
      <c r="X786" s="683" t="str">
        <f t="shared" si="5"/>
        <v/>
      </c>
      <c r="Y786" s="683" t="str">
        <f t="shared" si="6"/>
        <v/>
      </c>
      <c r="Z786" s="683" t="str">
        <f t="shared" si="7"/>
        <v/>
      </c>
      <c r="AA786" s="683" t="str">
        <f t="shared" si="8"/>
        <v/>
      </c>
      <c r="AB786" s="683" t="str">
        <f t="shared" si="9"/>
        <v/>
      </c>
      <c r="AC786" s="683" t="str">
        <f t="shared" si="10"/>
        <v/>
      </c>
      <c r="AD786" s="683" t="str">
        <f t="shared" si="11"/>
        <v/>
      </c>
      <c r="AE786" s="683" t="str">
        <f t="shared" si="12"/>
        <v/>
      </c>
      <c r="AF786" s="683" t="str">
        <f t="shared" si="13"/>
        <v/>
      </c>
      <c r="AG786" s="683" t="str">
        <f t="shared" si="14"/>
        <v/>
      </c>
      <c r="AH786" s="683" t="str">
        <f t="shared" si="15"/>
        <v/>
      </c>
      <c r="AI786" s="683" t="str">
        <f t="shared" si="16"/>
        <v/>
      </c>
      <c r="AJ786" s="683" t="str">
        <f t="shared" si="17"/>
        <v/>
      </c>
      <c r="AK786" s="683" t="str">
        <f t="shared" si="18"/>
        <v/>
      </c>
      <c r="AL786" s="683" t="str">
        <f t="shared" si="19"/>
        <v/>
      </c>
      <c r="AM786" s="683" t="str">
        <f t="shared" si="20"/>
        <v/>
      </c>
      <c r="AN786" s="683" t="str">
        <f t="shared" si="21"/>
        <v/>
      </c>
      <c r="AO786" s="683" t="str">
        <f t="shared" si="22"/>
        <v/>
      </c>
      <c r="AP786" s="683" t="str">
        <f t="shared" si="23"/>
        <v/>
      </c>
      <c r="AQ786" s="683" t="str">
        <f t="shared" si="24"/>
        <v/>
      </c>
      <c r="AR786" s="683" t="str">
        <f t="shared" si="25"/>
        <v/>
      </c>
      <c r="AS786" s="683" t="str">
        <f t="shared" si="26"/>
        <v/>
      </c>
      <c r="AT786" s="683" t="str">
        <f t="shared" si="27"/>
        <v/>
      </c>
      <c r="AU786" s="683" t="str">
        <f t="shared" si="28"/>
        <v/>
      </c>
      <c r="AV786" s="683" t="str">
        <f t="shared" si="29"/>
        <v/>
      </c>
      <c r="AW786" s="683" t="str">
        <f t="shared" si="30"/>
        <v/>
      </c>
      <c r="AX786" s="683" t="str">
        <f t="shared" si="31"/>
        <v/>
      </c>
      <c r="AY786" s="683" t="str">
        <f t="shared" si="32"/>
        <v/>
      </c>
      <c r="AZ786" s="683" t="str">
        <f t="shared" si="33"/>
        <v/>
      </c>
      <c r="BA786" s="683" t="str">
        <f t="shared" si="34"/>
        <v/>
      </c>
      <c r="BB786" s="683" t="str">
        <f t="shared" si="35"/>
        <v/>
      </c>
      <c r="BC786" s="683" t="str">
        <f t="shared" si="36"/>
        <v/>
      </c>
      <c r="BD786" s="683" t="str">
        <f t="shared" si="37"/>
        <v/>
      </c>
      <c r="BE786" s="683" t="str">
        <f t="shared" si="38"/>
        <v/>
      </c>
      <c r="BF786" s="683" t="str">
        <f t="shared" si="39"/>
        <v/>
      </c>
      <c r="BG786" s="683" t="str">
        <f t="shared" si="40"/>
        <v/>
      </c>
      <c r="BH786" s="683" t="str">
        <f t="shared" si="41"/>
        <v/>
      </c>
      <c r="BI786" s="683" t="str">
        <f t="shared" si="42"/>
        <v/>
      </c>
      <c r="BJ786" s="683" t="str">
        <f t="shared" si="43"/>
        <v/>
      </c>
      <c r="BK786" s="683" t="str">
        <f t="shared" si="44"/>
        <v/>
      </c>
      <c r="BL786" s="683" t="str">
        <f t="shared" si="45"/>
        <v/>
      </c>
      <c r="BM786" s="683" t="str">
        <f t="shared" si="46"/>
        <v/>
      </c>
      <c r="BN786" s="683" t="str">
        <f t="shared" si="47"/>
        <v/>
      </c>
      <c r="BO786" s="683" t="str">
        <f t="shared" si="48"/>
        <v/>
      </c>
      <c r="BP786" s="683" t="str">
        <f t="shared" si="49"/>
        <v/>
      </c>
      <c r="BQ786" s="683" t="str">
        <f t="shared" si="50"/>
        <v/>
      </c>
      <c r="BR786" s="683" t="str">
        <f t="shared" si="51"/>
        <v/>
      </c>
      <c r="BS786" s="683" t="str">
        <f t="shared" si="52"/>
        <v/>
      </c>
      <c r="BT786" s="683" t="str">
        <f t="shared" si="53"/>
        <v/>
      </c>
      <c r="BU786" s="683" t="str">
        <f t="shared" si="54"/>
        <v/>
      </c>
      <c r="BV786" s="683" t="str">
        <f t="shared" si="55"/>
        <v/>
      </c>
      <c r="BW786" s="683" t="str">
        <f t="shared" si="56"/>
        <v/>
      </c>
      <c r="BX786" s="683" t="str">
        <f t="shared" si="57"/>
        <v/>
      </c>
      <c r="BY786" s="683" t="str">
        <f t="shared" si="58"/>
        <v/>
      </c>
      <c r="BZ786" s="683" t="str">
        <f t="shared" si="59"/>
        <v/>
      </c>
      <c r="CA786" s="683" t="str">
        <f t="shared" si="60"/>
        <v/>
      </c>
      <c r="CB786" s="683" t="str">
        <f t="shared" si="61"/>
        <v/>
      </c>
      <c r="CC786" s="683" t="str">
        <f t="shared" si="62"/>
        <v/>
      </c>
      <c r="CD786" s="683" t="str">
        <f t="shared" si="63"/>
        <v/>
      </c>
      <c r="CE786" s="683" t="str">
        <f t="shared" si="64"/>
        <v/>
      </c>
      <c r="CF786" s="683" t="str">
        <f t="shared" si="65"/>
        <v/>
      </c>
      <c r="CG786" s="683" t="str">
        <f t="shared" si="66"/>
        <v/>
      </c>
      <c r="CH786" s="683" t="str">
        <f t="shared" si="67"/>
        <v/>
      </c>
      <c r="CI786" s="683" t="str">
        <f t="shared" si="68"/>
        <v/>
      </c>
      <c r="CJ786" s="683" t="str">
        <f t="shared" si="69"/>
        <v/>
      </c>
      <c r="CK786" s="683" t="str">
        <f t="shared" si="70"/>
        <v/>
      </c>
      <c r="CL786" s="683" t="str">
        <f t="shared" si="71"/>
        <v/>
      </c>
      <c r="CM786" s="683" t="str">
        <f t="shared" si="72"/>
        <v/>
      </c>
      <c r="CN786" s="683" t="str">
        <f t="shared" si="73"/>
        <v/>
      </c>
      <c r="CO786" s="683" t="str">
        <f t="shared" si="74"/>
        <v/>
      </c>
      <c r="CP786" s="683" t="str">
        <f t="shared" si="75"/>
        <v/>
      </c>
      <c r="CQ786" s="683" t="str">
        <f t="shared" si="76"/>
        <v/>
      </c>
      <c r="CR786" s="683" t="str">
        <f t="shared" si="77"/>
        <v/>
      </c>
      <c r="CS786" s="683" t="str">
        <f t="shared" si="78"/>
        <v/>
      </c>
      <c r="CT786" s="683" t="str">
        <f t="shared" si="79"/>
        <v/>
      </c>
      <c r="CU786" s="683" t="str">
        <f t="shared" si="80"/>
        <v/>
      </c>
      <c r="CV786" s="683" t="str">
        <f t="shared" si="81"/>
        <v/>
      </c>
      <c r="CW786" s="683" t="str">
        <f t="shared" si="82"/>
        <v/>
      </c>
      <c r="CX786" s="683" t="str">
        <f t="shared" si="83"/>
        <v/>
      </c>
      <c r="CY786" s="683" t="str">
        <f t="shared" si="84"/>
        <v/>
      </c>
      <c r="CZ786" s="683" t="str">
        <f t="shared" si="85"/>
        <v/>
      </c>
      <c r="DA786" s="683" t="str">
        <f t="shared" si="86"/>
        <v/>
      </c>
      <c r="DB786" s="683" t="str">
        <f t="shared" si="87"/>
        <v/>
      </c>
      <c r="DC786" s="683" t="str">
        <f t="shared" si="88"/>
        <v/>
      </c>
      <c r="DD786" s="683" t="str">
        <f t="shared" si="89"/>
        <v/>
      </c>
      <c r="DE786" s="683" t="str">
        <f t="shared" si="90"/>
        <v/>
      </c>
      <c r="DF786" s="683" t="str">
        <f t="shared" si="91"/>
        <v/>
      </c>
      <c r="DG786" s="683" t="str">
        <f t="shared" si="92"/>
        <v/>
      </c>
      <c r="DH786" s="683" t="str">
        <f t="shared" si="93"/>
        <v/>
      </c>
      <c r="DI786" s="683" t="str">
        <f t="shared" si="94"/>
        <v/>
      </c>
      <c r="DJ786" s="683" t="str">
        <f t="shared" si="95"/>
        <v/>
      </c>
      <c r="DK786" s="683" t="str">
        <f t="shared" si="96"/>
        <v/>
      </c>
      <c r="DL786" s="683" t="str">
        <f t="shared" si="97"/>
        <v/>
      </c>
      <c r="DM786" s="683" t="str">
        <f t="shared" si="98"/>
        <v/>
      </c>
      <c r="DN786" s="683" t="str">
        <f t="shared" si="99"/>
        <v/>
      </c>
      <c r="DO786" s="683" t="str">
        <f t="shared" si="100"/>
        <v/>
      </c>
      <c r="DP786" s="683" t="str">
        <f t="shared" si="101"/>
        <v/>
      </c>
      <c r="DQ786" s="683" t="str">
        <f t="shared" si="102"/>
        <v/>
      </c>
      <c r="DR786" s="683" t="str">
        <f t="shared" si="103"/>
        <v/>
      </c>
      <c r="DS786" s="683" t="str">
        <f t="shared" si="104"/>
        <v/>
      </c>
      <c r="DT786" s="683" t="str">
        <f t="shared" si="105"/>
        <v/>
      </c>
      <c r="DU786" s="683" t="str">
        <f t="shared" si="106"/>
        <v/>
      </c>
      <c r="DV786" s="683" t="str">
        <f t="shared" si="107"/>
        <v/>
      </c>
      <c r="DW786" s="683" t="str">
        <f t="shared" si="108"/>
        <v/>
      </c>
      <c r="DX786" s="683" t="str">
        <f t="shared" si="109"/>
        <v/>
      </c>
      <c r="DY786" s="683" t="str">
        <f t="shared" si="110"/>
        <v/>
      </c>
      <c r="DZ786" s="683" t="str">
        <f t="shared" si="111"/>
        <v/>
      </c>
      <c r="EA786" s="683" t="str">
        <f t="shared" si="112"/>
        <v/>
      </c>
      <c r="EB786" s="683" t="str">
        <f t="shared" si="113"/>
        <v/>
      </c>
      <c r="EC786" s="683" t="str">
        <f t="shared" si="114"/>
        <v/>
      </c>
      <c r="ED786" s="683" t="str">
        <f t="shared" si="115"/>
        <v/>
      </c>
      <c r="EE786" s="683" t="str">
        <f t="shared" si="116"/>
        <v/>
      </c>
      <c r="EF786" s="683" t="str">
        <f t="shared" si="117"/>
        <v/>
      </c>
      <c r="EG786" s="683" t="str">
        <f t="shared" si="118"/>
        <v/>
      </c>
      <c r="EH786" s="683" t="str">
        <f t="shared" si="119"/>
        <v/>
      </c>
      <c r="EI786" s="683" t="str">
        <f t="shared" si="120"/>
        <v/>
      </c>
      <c r="EJ786" s="683" t="str">
        <f t="shared" si="121"/>
        <v/>
      </c>
      <c r="EK786" s="683" t="str">
        <f t="shared" si="122"/>
        <v/>
      </c>
      <c r="EL786" s="683" t="str">
        <f t="shared" si="123"/>
        <v/>
      </c>
      <c r="EM786" s="683" t="str">
        <f t="shared" si="124"/>
        <v/>
      </c>
      <c r="EN786" s="683" t="str">
        <f t="shared" si="125"/>
        <v/>
      </c>
      <c r="EO786" s="683" t="str">
        <f t="shared" si="126"/>
        <v/>
      </c>
      <c r="EP786" s="683" t="str">
        <f t="shared" si="127"/>
        <v/>
      </c>
      <c r="EQ786" s="683" t="str">
        <f t="shared" si="128"/>
        <v/>
      </c>
      <c r="ER786" s="683" t="str">
        <f t="shared" si="129"/>
        <v/>
      </c>
      <c r="ES786" s="683" t="str">
        <f t="shared" si="130"/>
        <v/>
      </c>
      <c r="ET786" s="683" t="str">
        <f t="shared" si="131"/>
        <v/>
      </c>
      <c r="EU786" s="683" t="str">
        <f t="shared" si="132"/>
        <v/>
      </c>
      <c r="EV786" s="683" t="str">
        <f t="shared" si="133"/>
        <v/>
      </c>
      <c r="EW786" s="1854" t="str">
        <f t="shared" si="134"/>
        <v/>
      </c>
      <c r="EX786" s="1854" t="str">
        <f t="shared" si="135"/>
        <v/>
      </c>
      <c r="EY786" s="1854" t="str">
        <f t="shared" si="136"/>
        <v/>
      </c>
      <c r="EZ786" s="1854" t="str">
        <f t="shared" si="137"/>
        <v/>
      </c>
      <c r="FA786" s="1854" t="str">
        <f t="shared" si="138"/>
        <v/>
      </c>
      <c r="FB786" s="1854" t="str">
        <f t="shared" si="139"/>
        <v/>
      </c>
      <c r="FC786" s="1854" t="str">
        <f t="shared" si="140"/>
        <v/>
      </c>
      <c r="FD786" s="1854" t="str">
        <f t="shared" si="141"/>
        <v/>
      </c>
      <c r="FE786" s="1854" t="str">
        <f t="shared" si="142"/>
        <v/>
      </c>
      <c r="FF786" s="1854" t="str">
        <f t="shared" si="143"/>
        <v/>
      </c>
      <c r="FG786" s="1854" t="str">
        <f t="shared" si="144"/>
        <v/>
      </c>
      <c r="FH786" s="1854" t="str">
        <f t="shared" si="145"/>
        <v/>
      </c>
      <c r="FI786" s="1854" t="str">
        <f t="shared" si="146"/>
        <v/>
      </c>
      <c r="FJ786" s="1854" t="str">
        <f t="shared" si="147"/>
        <v/>
      </c>
      <c r="FK786" s="1854" t="str">
        <f t="shared" si="148"/>
        <v/>
      </c>
      <c r="FL786" s="1854" t="str">
        <f t="shared" si="149"/>
        <v/>
      </c>
      <c r="FM786" s="1854" t="str">
        <f t="shared" si="150"/>
        <v/>
      </c>
      <c r="FN786" s="1854" t="str">
        <f t="shared" si="151"/>
        <v/>
      </c>
      <c r="FO786" s="1854" t="str">
        <f t="shared" si="152"/>
        <v/>
      </c>
      <c r="FP786" s="1854" t="str">
        <f t="shared" si="153"/>
        <v/>
      </c>
      <c r="FQ786" s="1854" t="str">
        <f t="shared" si="154"/>
        <v/>
      </c>
      <c r="FR786" s="1854" t="str">
        <f t="shared" si="155"/>
        <v/>
      </c>
      <c r="FS786" s="1854" t="str">
        <f t="shared" si="156"/>
        <v/>
      </c>
      <c r="FT786" s="1854" t="str">
        <f t="shared" si="157"/>
        <v/>
      </c>
      <c r="FU786" s="1854" t="str">
        <f t="shared" si="158"/>
        <v/>
      </c>
      <c r="FV786" s="1854" t="str">
        <f t="shared" si="159"/>
        <v/>
      </c>
      <c r="FW786" s="1854" t="str">
        <f t="shared" si="160"/>
        <v/>
      </c>
      <c r="FX786" s="1854" t="str">
        <f t="shared" si="161"/>
        <v/>
      </c>
      <c r="FY786" s="1854" t="str">
        <f t="shared" si="162"/>
        <v/>
      </c>
      <c r="FZ786" s="1854" t="str">
        <f t="shared" si="163"/>
        <v/>
      </c>
      <c r="GA786" s="1854" t="str">
        <f t="shared" si="164"/>
        <v/>
      </c>
      <c r="GB786" s="1854" t="str">
        <f t="shared" si="165"/>
        <v/>
      </c>
      <c r="GC786" s="1854" t="str">
        <f t="shared" si="166"/>
        <v/>
      </c>
      <c r="GD786" s="1854" t="str">
        <f t="shared" si="167"/>
        <v/>
      </c>
      <c r="GE786" s="1854" t="str">
        <f t="shared" si="168"/>
        <v/>
      </c>
      <c r="GF786" s="1854" t="str">
        <f t="shared" si="169"/>
        <v/>
      </c>
      <c r="GG786" s="1854" t="str">
        <f t="shared" si="170"/>
        <v/>
      </c>
      <c r="GH786" s="1854" t="str">
        <f t="shared" si="171"/>
        <v/>
      </c>
      <c r="GI786" s="1854" t="str">
        <f t="shared" si="172"/>
        <v/>
      </c>
      <c r="GJ786" s="1854" t="str">
        <f t="shared" si="173"/>
        <v/>
      </c>
      <c r="GK786" s="1854" t="str">
        <f t="shared" si="174"/>
        <v/>
      </c>
      <c r="GL786" s="1854" t="str">
        <f t="shared" si="175"/>
        <v/>
      </c>
      <c r="GM786" s="1854" t="str">
        <f t="shared" si="176"/>
        <v/>
      </c>
      <c r="GN786" s="1854" t="str">
        <f t="shared" si="177"/>
        <v/>
      </c>
      <c r="GO786" s="1854" t="str">
        <f t="shared" si="178"/>
        <v/>
      </c>
      <c r="GP786" s="1854" t="str">
        <f t="shared" si="179"/>
        <v/>
      </c>
      <c r="GQ786" s="1854" t="str">
        <f t="shared" si="180"/>
        <v/>
      </c>
      <c r="GR786" s="1854" t="str">
        <f t="shared" si="181"/>
        <v/>
      </c>
      <c r="GS786" s="1854" t="str">
        <f t="shared" si="182"/>
        <v/>
      </c>
      <c r="GT786" s="1854" t="str">
        <f t="shared" si="183"/>
        <v/>
      </c>
      <c r="GU786" s="1854" t="str">
        <f t="shared" si="184"/>
        <v/>
      </c>
      <c r="GV786" s="1854" t="str">
        <f t="shared" si="185"/>
        <v/>
      </c>
      <c r="GW786" s="1854" t="str">
        <f t="shared" si="186"/>
        <v/>
      </c>
      <c r="GX786" s="1854" t="str">
        <f t="shared" si="187"/>
        <v/>
      </c>
      <c r="GY786" s="1854" t="str">
        <f t="shared" si="188"/>
        <v/>
      </c>
      <c r="GZ786" s="1854" t="str">
        <f t="shared" si="189"/>
        <v/>
      </c>
      <c r="HA786" s="1854" t="str">
        <f t="shared" si="190"/>
        <v/>
      </c>
      <c r="HB786" s="1854" t="str">
        <f t="shared" si="191"/>
        <v/>
      </c>
      <c r="HC786" s="1854" t="str">
        <f t="shared" si="192"/>
        <v/>
      </c>
      <c r="HD786" s="1854" t="str">
        <f t="shared" si="193"/>
        <v/>
      </c>
      <c r="HE786" s="1854" t="str">
        <f t="shared" si="194"/>
        <v/>
      </c>
      <c r="HF786" s="1854" t="str">
        <f t="shared" si="195"/>
        <v/>
      </c>
      <c r="HG786" s="1854" t="str">
        <f t="shared" si="196"/>
        <v/>
      </c>
      <c r="HH786" s="1854" t="str">
        <f t="shared" si="197"/>
        <v/>
      </c>
      <c r="HI786" s="1854" t="str">
        <f t="shared" si="198"/>
        <v/>
      </c>
      <c r="HJ786" s="1854" t="str">
        <f t="shared" si="199"/>
        <v/>
      </c>
      <c r="HK786" s="1854" t="str">
        <f t="shared" si="200"/>
        <v/>
      </c>
      <c r="HL786" s="1854" t="str">
        <f t="shared" si="201"/>
        <v/>
      </c>
      <c r="HM786" s="1854" t="str">
        <f t="shared" si="202"/>
        <v/>
      </c>
      <c r="HN786" s="1854" t="str">
        <f t="shared" si="203"/>
        <v/>
      </c>
      <c r="HO786" s="1854" t="str">
        <f t="shared" si="204"/>
        <v/>
      </c>
      <c r="HP786" s="1854" t="str">
        <f t="shared" si="205"/>
        <v/>
      </c>
      <c r="HQ786" s="1854" t="str">
        <f t="shared" si="206"/>
        <v/>
      </c>
      <c r="HR786" s="1854" t="str">
        <f t="shared" si="207"/>
        <v/>
      </c>
      <c r="HS786" s="1854" t="str">
        <f t="shared" si="208"/>
        <v/>
      </c>
      <c r="HT786" s="1854" t="str">
        <f t="shared" si="209"/>
        <v/>
      </c>
      <c r="HU786" s="1854" t="str">
        <f t="shared" si="210"/>
        <v/>
      </c>
      <c r="HV786" s="1854" t="str">
        <f t="shared" si="211"/>
        <v/>
      </c>
      <c r="HW786" s="1854" t="str">
        <f t="shared" si="212"/>
        <v/>
      </c>
      <c r="HX786" s="1854" t="str">
        <f t="shared" si="213"/>
        <v/>
      </c>
      <c r="HY786" s="1854" t="str">
        <f t="shared" si="214"/>
        <v/>
      </c>
      <c r="HZ786" s="1854" t="str">
        <f t="shared" si="215"/>
        <v/>
      </c>
      <c r="IA786" s="1854" t="str">
        <f t="shared" si="216"/>
        <v/>
      </c>
      <c r="IB786" s="1854" t="str">
        <f t="shared" si="217"/>
        <v/>
      </c>
      <c r="IC786" s="1854" t="str">
        <f t="shared" si="218"/>
        <v/>
      </c>
      <c r="ID786" s="1826" t="str">
        <f t="shared" si="219"/>
        <v/>
      </c>
      <c r="IE786" s="1826" t="str">
        <f t="shared" si="220"/>
        <v/>
      </c>
      <c r="IF786" s="1826" t="str">
        <f t="shared" si="221"/>
        <v/>
      </c>
      <c r="IG786" s="1826" t="str">
        <f t="shared" si="222"/>
        <v/>
      </c>
      <c r="IH786" s="1826" t="str">
        <f t="shared" si="223"/>
        <v/>
      </c>
      <c r="II786" s="683" t="str">
        <f t="shared" si="224"/>
        <v/>
      </c>
      <c r="IJ786" s="683" t="str">
        <f t="shared" si="225"/>
        <v/>
      </c>
      <c r="IK786" s="683" t="str">
        <f t="shared" si="226"/>
        <v/>
      </c>
      <c r="IL786" s="683" t="str">
        <f t="shared" si="227"/>
        <v/>
      </c>
      <c r="IM786" s="683" t="str">
        <f t="shared" si="228"/>
        <v/>
      </c>
      <c r="IN786" s="683" t="str">
        <f t="shared" si="229"/>
        <v/>
      </c>
      <c r="IO786" s="683" t="str">
        <f t="shared" si="230"/>
        <v/>
      </c>
      <c r="IP786" s="683" t="str">
        <f t="shared" si="231"/>
        <v/>
      </c>
      <c r="IQ786" s="683" t="str">
        <f t="shared" si="232"/>
        <v/>
      </c>
      <c r="IR786" s="683" t="str">
        <f t="shared" si="233"/>
        <v/>
      </c>
      <c r="IS786" s="683" t="str">
        <f t="shared" si="234"/>
        <v/>
      </c>
      <c r="IT786" s="683" t="str">
        <f t="shared" si="235"/>
        <v/>
      </c>
      <c r="IU786" s="683" t="str">
        <f t="shared" si="236"/>
        <v/>
      </c>
      <c r="IV786" s="683" t="str">
        <f t="shared" si="237"/>
        <v/>
      </c>
      <c r="IW786" s="683" t="str">
        <f t="shared" si="238"/>
        <v/>
      </c>
      <c r="IX786" s="683" t="str">
        <f t="shared" si="239"/>
        <v/>
      </c>
      <c r="IY786" s="683" t="str">
        <f t="shared" si="240"/>
        <v/>
      </c>
      <c r="IZ786" s="683" t="str">
        <f t="shared" si="241"/>
        <v/>
      </c>
      <c r="JA786" s="683" t="str">
        <f t="shared" si="242"/>
        <v/>
      </c>
      <c r="JB786" s="683" t="str">
        <f t="shared" si="243"/>
        <v/>
      </c>
      <c r="JC786" s="1824">
        <f t="shared" si="244"/>
        <v>0</v>
      </c>
      <c r="JD786" s="1824">
        <f t="shared" si="245"/>
        <v>0</v>
      </c>
      <c r="JE786" s="1824">
        <f t="shared" si="246"/>
        <v>0</v>
      </c>
      <c r="JF786" s="1824">
        <f t="shared" si="247"/>
        <v>0</v>
      </c>
      <c r="JG786" s="1824">
        <f t="shared" si="248"/>
        <v>0</v>
      </c>
      <c r="JH786" s="1824">
        <f t="shared" si="249"/>
        <v>0</v>
      </c>
      <c r="JI786" s="1824">
        <f t="shared" si="250"/>
        <v>0</v>
      </c>
      <c r="JJ786" s="1824">
        <f t="shared" si="251"/>
        <v>0</v>
      </c>
      <c r="JK786" s="1824">
        <f t="shared" si="252"/>
        <v>0</v>
      </c>
      <c r="JL786" s="1824">
        <f t="shared" si="253"/>
        <v>0</v>
      </c>
      <c r="JM786" s="1824">
        <f t="shared" si="254"/>
        <v>0</v>
      </c>
      <c r="JN786" s="1824">
        <f t="shared" si="255"/>
        <v>0</v>
      </c>
      <c r="JO786" s="1824">
        <f t="shared" si="256"/>
        <v>0</v>
      </c>
      <c r="JP786" s="1824">
        <f t="shared" si="257"/>
        <v>0</v>
      </c>
      <c r="JQ786" s="1824">
        <f t="shared" si="258"/>
        <v>0</v>
      </c>
    </row>
    <row r="787" spans="1:277" ht="12" customHeight="1">
      <c r="A787" s="1837" t="str">
        <f t="shared" si="1"/>
        <v/>
      </c>
      <c r="B787" s="1846" t="str">
        <f>'Part VI-Revenues &amp; Expenses'!B30</f>
        <v>&lt;&lt;Select&gt;&gt;</v>
      </c>
      <c r="C787" s="1847">
        <f>'Part VI-Revenues &amp; Expenses'!C30</f>
        <v>0</v>
      </c>
      <c r="D787" s="1848">
        <f>'Part VI-Revenues &amp; Expenses'!D30</f>
        <v>0</v>
      </c>
      <c r="E787" s="1849">
        <f>'Part VI-Revenues &amp; Expenses'!E30</f>
        <v>0</v>
      </c>
      <c r="F787" s="1849">
        <f>'Part VI-Revenues &amp; Expenses'!F30</f>
        <v>0</v>
      </c>
      <c r="G787" s="1849">
        <f>'Part VI-Revenues &amp; Expenses'!G30</f>
        <v>0</v>
      </c>
      <c r="H787" s="1849">
        <f>'Part VI-Revenues &amp; Expenses'!H30</f>
        <v>0</v>
      </c>
      <c r="I787" s="1849">
        <f>'Part VI-Revenues &amp; Expenses'!I30</f>
        <v>0</v>
      </c>
      <c r="J787" s="1850">
        <f>'Part VI-Revenues &amp; Expenses'!J30</f>
        <v>0</v>
      </c>
      <c r="K787" s="1851">
        <f t="shared" si="2"/>
        <v>0</v>
      </c>
      <c r="L787" s="1851">
        <f t="shared" si="3"/>
        <v>0</v>
      </c>
      <c r="M787" s="1725">
        <f>'Part VI-Revenues &amp; Expenses'!M30</f>
        <v>0</v>
      </c>
      <c r="N787" s="1725">
        <f>'Part VI-Revenues &amp; Expenses'!N30</f>
        <v>0</v>
      </c>
      <c r="O787" s="1725">
        <f>'Part VI-Revenues &amp; Expenses'!O30</f>
        <v>0</v>
      </c>
      <c r="P787" s="1831">
        <f>'Part VI-Revenues &amp; Expenses'!P30</f>
        <v>0</v>
      </c>
      <c r="Q787" s="1852" t="str">
        <f>'Part VI-Revenues &amp; Expenses'!Q30</f>
        <v/>
      </c>
      <c r="R787" s="1853" t="str">
        <f>'Part VI-Revenues &amp; Expenses'!R30</f>
        <v/>
      </c>
      <c r="S787" s="1852">
        <f>'Part VI-Revenues &amp; Expenses'!S30</f>
        <v>0</v>
      </c>
      <c r="T787" s="1853">
        <f>'Part VI-Revenues &amp; Expenses'!T30</f>
        <v>0</v>
      </c>
      <c r="U787" s="1775"/>
      <c r="V787" s="1775"/>
      <c r="W787" s="683" t="str">
        <f t="shared" si="4"/>
        <v/>
      </c>
      <c r="X787" s="683" t="str">
        <f t="shared" si="5"/>
        <v/>
      </c>
      <c r="Y787" s="683" t="str">
        <f t="shared" si="6"/>
        <v/>
      </c>
      <c r="Z787" s="683" t="str">
        <f t="shared" si="7"/>
        <v/>
      </c>
      <c r="AA787" s="683" t="str">
        <f t="shared" si="8"/>
        <v/>
      </c>
      <c r="AB787" s="683" t="str">
        <f t="shared" si="9"/>
        <v/>
      </c>
      <c r="AC787" s="683" t="str">
        <f t="shared" si="10"/>
        <v/>
      </c>
      <c r="AD787" s="683" t="str">
        <f t="shared" si="11"/>
        <v/>
      </c>
      <c r="AE787" s="683" t="str">
        <f t="shared" si="12"/>
        <v/>
      </c>
      <c r="AF787" s="683" t="str">
        <f t="shared" si="13"/>
        <v/>
      </c>
      <c r="AG787" s="683" t="str">
        <f t="shared" si="14"/>
        <v/>
      </c>
      <c r="AH787" s="683" t="str">
        <f t="shared" si="15"/>
        <v/>
      </c>
      <c r="AI787" s="683" t="str">
        <f t="shared" si="16"/>
        <v/>
      </c>
      <c r="AJ787" s="683" t="str">
        <f t="shared" si="17"/>
        <v/>
      </c>
      <c r="AK787" s="683" t="str">
        <f t="shared" si="18"/>
        <v/>
      </c>
      <c r="AL787" s="683" t="str">
        <f t="shared" si="19"/>
        <v/>
      </c>
      <c r="AM787" s="683" t="str">
        <f t="shared" si="20"/>
        <v/>
      </c>
      <c r="AN787" s="683" t="str">
        <f t="shared" si="21"/>
        <v/>
      </c>
      <c r="AO787" s="683" t="str">
        <f t="shared" si="22"/>
        <v/>
      </c>
      <c r="AP787" s="683" t="str">
        <f t="shared" si="23"/>
        <v/>
      </c>
      <c r="AQ787" s="683" t="str">
        <f t="shared" si="24"/>
        <v/>
      </c>
      <c r="AR787" s="683" t="str">
        <f t="shared" si="25"/>
        <v/>
      </c>
      <c r="AS787" s="683" t="str">
        <f t="shared" si="26"/>
        <v/>
      </c>
      <c r="AT787" s="683" t="str">
        <f t="shared" si="27"/>
        <v/>
      </c>
      <c r="AU787" s="683" t="str">
        <f t="shared" si="28"/>
        <v/>
      </c>
      <c r="AV787" s="683" t="str">
        <f t="shared" si="29"/>
        <v/>
      </c>
      <c r="AW787" s="683" t="str">
        <f t="shared" si="30"/>
        <v/>
      </c>
      <c r="AX787" s="683" t="str">
        <f t="shared" si="31"/>
        <v/>
      </c>
      <c r="AY787" s="683" t="str">
        <f t="shared" si="32"/>
        <v/>
      </c>
      <c r="AZ787" s="683" t="str">
        <f t="shared" si="33"/>
        <v/>
      </c>
      <c r="BA787" s="683" t="str">
        <f t="shared" si="34"/>
        <v/>
      </c>
      <c r="BB787" s="683" t="str">
        <f t="shared" si="35"/>
        <v/>
      </c>
      <c r="BC787" s="683" t="str">
        <f t="shared" si="36"/>
        <v/>
      </c>
      <c r="BD787" s="683" t="str">
        <f t="shared" si="37"/>
        <v/>
      </c>
      <c r="BE787" s="683" t="str">
        <f t="shared" si="38"/>
        <v/>
      </c>
      <c r="BF787" s="683" t="str">
        <f t="shared" si="39"/>
        <v/>
      </c>
      <c r="BG787" s="683" t="str">
        <f t="shared" si="40"/>
        <v/>
      </c>
      <c r="BH787" s="683" t="str">
        <f t="shared" si="41"/>
        <v/>
      </c>
      <c r="BI787" s="683" t="str">
        <f t="shared" si="42"/>
        <v/>
      </c>
      <c r="BJ787" s="683" t="str">
        <f t="shared" si="43"/>
        <v/>
      </c>
      <c r="BK787" s="683" t="str">
        <f t="shared" si="44"/>
        <v/>
      </c>
      <c r="BL787" s="683" t="str">
        <f t="shared" si="45"/>
        <v/>
      </c>
      <c r="BM787" s="683" t="str">
        <f t="shared" si="46"/>
        <v/>
      </c>
      <c r="BN787" s="683" t="str">
        <f t="shared" si="47"/>
        <v/>
      </c>
      <c r="BO787" s="683" t="str">
        <f t="shared" si="48"/>
        <v/>
      </c>
      <c r="BP787" s="683" t="str">
        <f t="shared" si="49"/>
        <v/>
      </c>
      <c r="BQ787" s="683" t="str">
        <f t="shared" si="50"/>
        <v/>
      </c>
      <c r="BR787" s="683" t="str">
        <f t="shared" si="51"/>
        <v/>
      </c>
      <c r="BS787" s="683" t="str">
        <f t="shared" si="52"/>
        <v/>
      </c>
      <c r="BT787" s="683" t="str">
        <f t="shared" si="53"/>
        <v/>
      </c>
      <c r="BU787" s="683" t="str">
        <f t="shared" si="54"/>
        <v/>
      </c>
      <c r="BV787" s="683" t="str">
        <f t="shared" si="55"/>
        <v/>
      </c>
      <c r="BW787" s="683" t="str">
        <f t="shared" si="56"/>
        <v/>
      </c>
      <c r="BX787" s="683" t="str">
        <f t="shared" si="57"/>
        <v/>
      </c>
      <c r="BY787" s="683" t="str">
        <f t="shared" si="58"/>
        <v/>
      </c>
      <c r="BZ787" s="683" t="str">
        <f t="shared" si="59"/>
        <v/>
      </c>
      <c r="CA787" s="683" t="str">
        <f t="shared" si="60"/>
        <v/>
      </c>
      <c r="CB787" s="683" t="str">
        <f t="shared" si="61"/>
        <v/>
      </c>
      <c r="CC787" s="683" t="str">
        <f t="shared" si="62"/>
        <v/>
      </c>
      <c r="CD787" s="683" t="str">
        <f t="shared" si="63"/>
        <v/>
      </c>
      <c r="CE787" s="683" t="str">
        <f t="shared" si="64"/>
        <v/>
      </c>
      <c r="CF787" s="683" t="str">
        <f t="shared" si="65"/>
        <v/>
      </c>
      <c r="CG787" s="683" t="str">
        <f t="shared" si="66"/>
        <v/>
      </c>
      <c r="CH787" s="683" t="str">
        <f t="shared" si="67"/>
        <v/>
      </c>
      <c r="CI787" s="683" t="str">
        <f t="shared" si="68"/>
        <v/>
      </c>
      <c r="CJ787" s="683" t="str">
        <f t="shared" si="69"/>
        <v/>
      </c>
      <c r="CK787" s="683" t="str">
        <f t="shared" si="70"/>
        <v/>
      </c>
      <c r="CL787" s="683" t="str">
        <f t="shared" si="71"/>
        <v/>
      </c>
      <c r="CM787" s="683" t="str">
        <f t="shared" si="72"/>
        <v/>
      </c>
      <c r="CN787" s="683" t="str">
        <f t="shared" si="73"/>
        <v/>
      </c>
      <c r="CO787" s="683" t="str">
        <f t="shared" si="74"/>
        <v/>
      </c>
      <c r="CP787" s="683" t="str">
        <f t="shared" si="75"/>
        <v/>
      </c>
      <c r="CQ787" s="683" t="str">
        <f t="shared" si="76"/>
        <v/>
      </c>
      <c r="CR787" s="683" t="str">
        <f t="shared" si="77"/>
        <v/>
      </c>
      <c r="CS787" s="683" t="str">
        <f t="shared" si="78"/>
        <v/>
      </c>
      <c r="CT787" s="683" t="str">
        <f t="shared" si="79"/>
        <v/>
      </c>
      <c r="CU787" s="683" t="str">
        <f t="shared" si="80"/>
        <v/>
      </c>
      <c r="CV787" s="683" t="str">
        <f t="shared" si="81"/>
        <v/>
      </c>
      <c r="CW787" s="683" t="str">
        <f t="shared" si="82"/>
        <v/>
      </c>
      <c r="CX787" s="683" t="str">
        <f t="shared" si="83"/>
        <v/>
      </c>
      <c r="CY787" s="683" t="str">
        <f t="shared" si="84"/>
        <v/>
      </c>
      <c r="CZ787" s="683" t="str">
        <f t="shared" si="85"/>
        <v/>
      </c>
      <c r="DA787" s="683" t="str">
        <f t="shared" si="86"/>
        <v/>
      </c>
      <c r="DB787" s="683" t="str">
        <f t="shared" si="87"/>
        <v/>
      </c>
      <c r="DC787" s="683" t="str">
        <f t="shared" si="88"/>
        <v/>
      </c>
      <c r="DD787" s="683" t="str">
        <f t="shared" si="89"/>
        <v/>
      </c>
      <c r="DE787" s="683" t="str">
        <f t="shared" si="90"/>
        <v/>
      </c>
      <c r="DF787" s="683" t="str">
        <f t="shared" si="91"/>
        <v/>
      </c>
      <c r="DG787" s="683" t="str">
        <f t="shared" si="92"/>
        <v/>
      </c>
      <c r="DH787" s="683" t="str">
        <f t="shared" si="93"/>
        <v/>
      </c>
      <c r="DI787" s="683" t="str">
        <f t="shared" si="94"/>
        <v/>
      </c>
      <c r="DJ787" s="683" t="str">
        <f t="shared" si="95"/>
        <v/>
      </c>
      <c r="DK787" s="683" t="str">
        <f t="shared" si="96"/>
        <v/>
      </c>
      <c r="DL787" s="683" t="str">
        <f t="shared" si="97"/>
        <v/>
      </c>
      <c r="DM787" s="683" t="str">
        <f t="shared" si="98"/>
        <v/>
      </c>
      <c r="DN787" s="683" t="str">
        <f t="shared" si="99"/>
        <v/>
      </c>
      <c r="DO787" s="683" t="str">
        <f t="shared" si="100"/>
        <v/>
      </c>
      <c r="DP787" s="683" t="str">
        <f t="shared" si="101"/>
        <v/>
      </c>
      <c r="DQ787" s="683" t="str">
        <f t="shared" si="102"/>
        <v/>
      </c>
      <c r="DR787" s="683" t="str">
        <f t="shared" si="103"/>
        <v/>
      </c>
      <c r="DS787" s="683" t="str">
        <f t="shared" si="104"/>
        <v/>
      </c>
      <c r="DT787" s="683" t="str">
        <f t="shared" si="105"/>
        <v/>
      </c>
      <c r="DU787" s="683" t="str">
        <f t="shared" si="106"/>
        <v/>
      </c>
      <c r="DV787" s="683" t="str">
        <f t="shared" si="107"/>
        <v/>
      </c>
      <c r="DW787" s="683" t="str">
        <f t="shared" si="108"/>
        <v/>
      </c>
      <c r="DX787" s="683" t="str">
        <f t="shared" si="109"/>
        <v/>
      </c>
      <c r="DY787" s="683" t="str">
        <f t="shared" si="110"/>
        <v/>
      </c>
      <c r="DZ787" s="683" t="str">
        <f t="shared" si="111"/>
        <v/>
      </c>
      <c r="EA787" s="683" t="str">
        <f t="shared" si="112"/>
        <v/>
      </c>
      <c r="EB787" s="683" t="str">
        <f t="shared" si="113"/>
        <v/>
      </c>
      <c r="EC787" s="683" t="str">
        <f t="shared" si="114"/>
        <v/>
      </c>
      <c r="ED787" s="683" t="str">
        <f t="shared" si="115"/>
        <v/>
      </c>
      <c r="EE787" s="683" t="str">
        <f t="shared" si="116"/>
        <v/>
      </c>
      <c r="EF787" s="683" t="str">
        <f t="shared" si="117"/>
        <v/>
      </c>
      <c r="EG787" s="683" t="str">
        <f t="shared" si="118"/>
        <v/>
      </c>
      <c r="EH787" s="683" t="str">
        <f t="shared" si="119"/>
        <v/>
      </c>
      <c r="EI787" s="683" t="str">
        <f t="shared" si="120"/>
        <v/>
      </c>
      <c r="EJ787" s="683" t="str">
        <f t="shared" si="121"/>
        <v/>
      </c>
      <c r="EK787" s="683" t="str">
        <f t="shared" si="122"/>
        <v/>
      </c>
      <c r="EL787" s="683" t="str">
        <f t="shared" si="123"/>
        <v/>
      </c>
      <c r="EM787" s="683" t="str">
        <f t="shared" si="124"/>
        <v/>
      </c>
      <c r="EN787" s="683" t="str">
        <f t="shared" si="125"/>
        <v/>
      </c>
      <c r="EO787" s="683" t="str">
        <f t="shared" si="126"/>
        <v/>
      </c>
      <c r="EP787" s="683" t="str">
        <f t="shared" si="127"/>
        <v/>
      </c>
      <c r="EQ787" s="683" t="str">
        <f t="shared" si="128"/>
        <v/>
      </c>
      <c r="ER787" s="683" t="str">
        <f t="shared" si="129"/>
        <v/>
      </c>
      <c r="ES787" s="683" t="str">
        <f t="shared" si="130"/>
        <v/>
      </c>
      <c r="ET787" s="683" t="str">
        <f t="shared" si="131"/>
        <v/>
      </c>
      <c r="EU787" s="683" t="str">
        <f t="shared" si="132"/>
        <v/>
      </c>
      <c r="EV787" s="683" t="str">
        <f t="shared" si="133"/>
        <v/>
      </c>
      <c r="EW787" s="1854" t="str">
        <f t="shared" si="134"/>
        <v/>
      </c>
      <c r="EX787" s="1854" t="str">
        <f t="shared" si="135"/>
        <v/>
      </c>
      <c r="EY787" s="1854" t="str">
        <f t="shared" si="136"/>
        <v/>
      </c>
      <c r="EZ787" s="1854" t="str">
        <f t="shared" si="137"/>
        <v/>
      </c>
      <c r="FA787" s="1854" t="str">
        <f t="shared" si="138"/>
        <v/>
      </c>
      <c r="FB787" s="1854" t="str">
        <f t="shared" si="139"/>
        <v/>
      </c>
      <c r="FC787" s="1854" t="str">
        <f t="shared" si="140"/>
        <v/>
      </c>
      <c r="FD787" s="1854" t="str">
        <f t="shared" si="141"/>
        <v/>
      </c>
      <c r="FE787" s="1854" t="str">
        <f t="shared" si="142"/>
        <v/>
      </c>
      <c r="FF787" s="1854" t="str">
        <f t="shared" si="143"/>
        <v/>
      </c>
      <c r="FG787" s="1854" t="str">
        <f t="shared" si="144"/>
        <v/>
      </c>
      <c r="FH787" s="1854" t="str">
        <f t="shared" si="145"/>
        <v/>
      </c>
      <c r="FI787" s="1854" t="str">
        <f t="shared" si="146"/>
        <v/>
      </c>
      <c r="FJ787" s="1854" t="str">
        <f t="shared" si="147"/>
        <v/>
      </c>
      <c r="FK787" s="1854" t="str">
        <f t="shared" si="148"/>
        <v/>
      </c>
      <c r="FL787" s="1854" t="str">
        <f t="shared" si="149"/>
        <v/>
      </c>
      <c r="FM787" s="1854" t="str">
        <f t="shared" si="150"/>
        <v/>
      </c>
      <c r="FN787" s="1854" t="str">
        <f t="shared" si="151"/>
        <v/>
      </c>
      <c r="FO787" s="1854" t="str">
        <f t="shared" si="152"/>
        <v/>
      </c>
      <c r="FP787" s="1854" t="str">
        <f t="shared" si="153"/>
        <v/>
      </c>
      <c r="FQ787" s="1854" t="str">
        <f t="shared" si="154"/>
        <v/>
      </c>
      <c r="FR787" s="1854" t="str">
        <f t="shared" si="155"/>
        <v/>
      </c>
      <c r="FS787" s="1854" t="str">
        <f t="shared" si="156"/>
        <v/>
      </c>
      <c r="FT787" s="1854" t="str">
        <f t="shared" si="157"/>
        <v/>
      </c>
      <c r="FU787" s="1854" t="str">
        <f t="shared" si="158"/>
        <v/>
      </c>
      <c r="FV787" s="1854" t="str">
        <f t="shared" si="159"/>
        <v/>
      </c>
      <c r="FW787" s="1854" t="str">
        <f t="shared" si="160"/>
        <v/>
      </c>
      <c r="FX787" s="1854" t="str">
        <f t="shared" si="161"/>
        <v/>
      </c>
      <c r="FY787" s="1854" t="str">
        <f t="shared" si="162"/>
        <v/>
      </c>
      <c r="FZ787" s="1854" t="str">
        <f t="shared" si="163"/>
        <v/>
      </c>
      <c r="GA787" s="1854" t="str">
        <f t="shared" si="164"/>
        <v/>
      </c>
      <c r="GB787" s="1854" t="str">
        <f t="shared" si="165"/>
        <v/>
      </c>
      <c r="GC787" s="1854" t="str">
        <f t="shared" si="166"/>
        <v/>
      </c>
      <c r="GD787" s="1854" t="str">
        <f t="shared" si="167"/>
        <v/>
      </c>
      <c r="GE787" s="1854" t="str">
        <f t="shared" si="168"/>
        <v/>
      </c>
      <c r="GF787" s="1854" t="str">
        <f t="shared" si="169"/>
        <v/>
      </c>
      <c r="GG787" s="1854" t="str">
        <f t="shared" si="170"/>
        <v/>
      </c>
      <c r="GH787" s="1854" t="str">
        <f t="shared" si="171"/>
        <v/>
      </c>
      <c r="GI787" s="1854" t="str">
        <f t="shared" si="172"/>
        <v/>
      </c>
      <c r="GJ787" s="1854" t="str">
        <f t="shared" si="173"/>
        <v/>
      </c>
      <c r="GK787" s="1854" t="str">
        <f t="shared" si="174"/>
        <v/>
      </c>
      <c r="GL787" s="1854" t="str">
        <f t="shared" si="175"/>
        <v/>
      </c>
      <c r="GM787" s="1854" t="str">
        <f t="shared" si="176"/>
        <v/>
      </c>
      <c r="GN787" s="1854" t="str">
        <f t="shared" si="177"/>
        <v/>
      </c>
      <c r="GO787" s="1854" t="str">
        <f t="shared" si="178"/>
        <v/>
      </c>
      <c r="GP787" s="1854" t="str">
        <f t="shared" si="179"/>
        <v/>
      </c>
      <c r="GQ787" s="1854" t="str">
        <f t="shared" si="180"/>
        <v/>
      </c>
      <c r="GR787" s="1854" t="str">
        <f t="shared" si="181"/>
        <v/>
      </c>
      <c r="GS787" s="1854" t="str">
        <f t="shared" si="182"/>
        <v/>
      </c>
      <c r="GT787" s="1854" t="str">
        <f t="shared" si="183"/>
        <v/>
      </c>
      <c r="GU787" s="1854" t="str">
        <f t="shared" si="184"/>
        <v/>
      </c>
      <c r="GV787" s="1854" t="str">
        <f t="shared" si="185"/>
        <v/>
      </c>
      <c r="GW787" s="1854" t="str">
        <f t="shared" si="186"/>
        <v/>
      </c>
      <c r="GX787" s="1854" t="str">
        <f t="shared" si="187"/>
        <v/>
      </c>
      <c r="GY787" s="1854" t="str">
        <f t="shared" si="188"/>
        <v/>
      </c>
      <c r="GZ787" s="1854" t="str">
        <f t="shared" si="189"/>
        <v/>
      </c>
      <c r="HA787" s="1854" t="str">
        <f t="shared" si="190"/>
        <v/>
      </c>
      <c r="HB787" s="1854" t="str">
        <f t="shared" si="191"/>
        <v/>
      </c>
      <c r="HC787" s="1854" t="str">
        <f t="shared" si="192"/>
        <v/>
      </c>
      <c r="HD787" s="1854" t="str">
        <f t="shared" si="193"/>
        <v/>
      </c>
      <c r="HE787" s="1854" t="str">
        <f t="shared" si="194"/>
        <v/>
      </c>
      <c r="HF787" s="1854" t="str">
        <f t="shared" si="195"/>
        <v/>
      </c>
      <c r="HG787" s="1854" t="str">
        <f t="shared" si="196"/>
        <v/>
      </c>
      <c r="HH787" s="1854" t="str">
        <f t="shared" si="197"/>
        <v/>
      </c>
      <c r="HI787" s="1854" t="str">
        <f t="shared" si="198"/>
        <v/>
      </c>
      <c r="HJ787" s="1854" t="str">
        <f t="shared" si="199"/>
        <v/>
      </c>
      <c r="HK787" s="1854" t="str">
        <f t="shared" si="200"/>
        <v/>
      </c>
      <c r="HL787" s="1854" t="str">
        <f t="shared" si="201"/>
        <v/>
      </c>
      <c r="HM787" s="1854" t="str">
        <f t="shared" si="202"/>
        <v/>
      </c>
      <c r="HN787" s="1854" t="str">
        <f t="shared" si="203"/>
        <v/>
      </c>
      <c r="HO787" s="1854" t="str">
        <f t="shared" si="204"/>
        <v/>
      </c>
      <c r="HP787" s="1854" t="str">
        <f t="shared" si="205"/>
        <v/>
      </c>
      <c r="HQ787" s="1854" t="str">
        <f t="shared" si="206"/>
        <v/>
      </c>
      <c r="HR787" s="1854" t="str">
        <f t="shared" si="207"/>
        <v/>
      </c>
      <c r="HS787" s="1854" t="str">
        <f t="shared" si="208"/>
        <v/>
      </c>
      <c r="HT787" s="1854" t="str">
        <f t="shared" si="209"/>
        <v/>
      </c>
      <c r="HU787" s="1854" t="str">
        <f t="shared" si="210"/>
        <v/>
      </c>
      <c r="HV787" s="1854" t="str">
        <f t="shared" si="211"/>
        <v/>
      </c>
      <c r="HW787" s="1854" t="str">
        <f t="shared" si="212"/>
        <v/>
      </c>
      <c r="HX787" s="1854" t="str">
        <f t="shared" si="213"/>
        <v/>
      </c>
      <c r="HY787" s="1854" t="str">
        <f t="shared" si="214"/>
        <v/>
      </c>
      <c r="HZ787" s="1854" t="str">
        <f t="shared" si="215"/>
        <v/>
      </c>
      <c r="IA787" s="1854" t="str">
        <f t="shared" si="216"/>
        <v/>
      </c>
      <c r="IB787" s="1854" t="str">
        <f t="shared" si="217"/>
        <v/>
      </c>
      <c r="IC787" s="1854" t="str">
        <f t="shared" si="218"/>
        <v/>
      </c>
      <c r="ID787" s="1826" t="str">
        <f t="shared" si="219"/>
        <v/>
      </c>
      <c r="IE787" s="1826" t="str">
        <f t="shared" si="220"/>
        <v/>
      </c>
      <c r="IF787" s="1826" t="str">
        <f t="shared" si="221"/>
        <v/>
      </c>
      <c r="IG787" s="1826" t="str">
        <f t="shared" si="222"/>
        <v/>
      </c>
      <c r="IH787" s="1826" t="str">
        <f t="shared" si="223"/>
        <v/>
      </c>
      <c r="II787" s="683" t="str">
        <f t="shared" si="224"/>
        <v/>
      </c>
      <c r="IJ787" s="683" t="str">
        <f t="shared" si="225"/>
        <v/>
      </c>
      <c r="IK787" s="683" t="str">
        <f t="shared" si="226"/>
        <v/>
      </c>
      <c r="IL787" s="683" t="str">
        <f t="shared" si="227"/>
        <v/>
      </c>
      <c r="IM787" s="683" t="str">
        <f t="shared" si="228"/>
        <v/>
      </c>
      <c r="IN787" s="683" t="str">
        <f t="shared" si="229"/>
        <v/>
      </c>
      <c r="IO787" s="683" t="str">
        <f t="shared" si="230"/>
        <v/>
      </c>
      <c r="IP787" s="683" t="str">
        <f t="shared" si="231"/>
        <v/>
      </c>
      <c r="IQ787" s="683" t="str">
        <f t="shared" si="232"/>
        <v/>
      </c>
      <c r="IR787" s="683" t="str">
        <f t="shared" si="233"/>
        <v/>
      </c>
      <c r="IS787" s="683" t="str">
        <f t="shared" si="234"/>
        <v/>
      </c>
      <c r="IT787" s="683" t="str">
        <f t="shared" si="235"/>
        <v/>
      </c>
      <c r="IU787" s="683" t="str">
        <f t="shared" si="236"/>
        <v/>
      </c>
      <c r="IV787" s="683" t="str">
        <f t="shared" si="237"/>
        <v/>
      </c>
      <c r="IW787" s="683" t="str">
        <f t="shared" si="238"/>
        <v/>
      </c>
      <c r="IX787" s="683" t="str">
        <f t="shared" si="239"/>
        <v/>
      </c>
      <c r="IY787" s="683" t="str">
        <f t="shared" si="240"/>
        <v/>
      </c>
      <c r="IZ787" s="683" t="str">
        <f t="shared" si="241"/>
        <v/>
      </c>
      <c r="JA787" s="683" t="str">
        <f t="shared" si="242"/>
        <v/>
      </c>
      <c r="JB787" s="683" t="str">
        <f t="shared" si="243"/>
        <v/>
      </c>
      <c r="JC787" s="1824">
        <f t="shared" si="244"/>
        <v>0</v>
      </c>
      <c r="JD787" s="1824">
        <f t="shared" si="245"/>
        <v>0</v>
      </c>
      <c r="JE787" s="1824">
        <f t="shared" si="246"/>
        <v>0</v>
      </c>
      <c r="JF787" s="1824">
        <f t="shared" si="247"/>
        <v>0</v>
      </c>
      <c r="JG787" s="1824">
        <f t="shared" si="248"/>
        <v>0</v>
      </c>
      <c r="JH787" s="1824">
        <f t="shared" si="249"/>
        <v>0</v>
      </c>
      <c r="JI787" s="1824">
        <f t="shared" si="250"/>
        <v>0</v>
      </c>
      <c r="JJ787" s="1824">
        <f t="shared" si="251"/>
        <v>0</v>
      </c>
      <c r="JK787" s="1824">
        <f t="shared" si="252"/>
        <v>0</v>
      </c>
      <c r="JL787" s="1824">
        <f t="shared" si="253"/>
        <v>0</v>
      </c>
      <c r="JM787" s="1824">
        <f t="shared" si="254"/>
        <v>0</v>
      </c>
      <c r="JN787" s="1824">
        <f t="shared" si="255"/>
        <v>0</v>
      </c>
      <c r="JO787" s="1824">
        <f t="shared" si="256"/>
        <v>0</v>
      </c>
      <c r="JP787" s="1824">
        <f t="shared" si="257"/>
        <v>0</v>
      </c>
      <c r="JQ787" s="1824">
        <f t="shared" si="258"/>
        <v>0</v>
      </c>
    </row>
    <row r="788" spans="1:277" ht="12" customHeight="1">
      <c r="A788" s="1837" t="str">
        <f t="shared" si="1"/>
        <v/>
      </c>
      <c r="B788" s="1846" t="str">
        <f>'Part VI-Revenues &amp; Expenses'!B31</f>
        <v>&lt;&lt;Select&gt;&gt;</v>
      </c>
      <c r="C788" s="1847">
        <f>'Part VI-Revenues &amp; Expenses'!C31</f>
        <v>0</v>
      </c>
      <c r="D788" s="1848">
        <f>'Part VI-Revenues &amp; Expenses'!D31</f>
        <v>0</v>
      </c>
      <c r="E788" s="1849">
        <f>'Part VI-Revenues &amp; Expenses'!E31</f>
        <v>0</v>
      </c>
      <c r="F788" s="1849">
        <f>'Part VI-Revenues &amp; Expenses'!F31</f>
        <v>0</v>
      </c>
      <c r="G788" s="1849">
        <f>'Part VI-Revenues &amp; Expenses'!G31</f>
        <v>0</v>
      </c>
      <c r="H788" s="1849">
        <f>'Part VI-Revenues &amp; Expenses'!H31</f>
        <v>0</v>
      </c>
      <c r="I788" s="1849">
        <f>'Part VI-Revenues &amp; Expenses'!I31</f>
        <v>0</v>
      </c>
      <c r="J788" s="1850">
        <f>'Part VI-Revenues &amp; Expenses'!J31</f>
        <v>0</v>
      </c>
      <c r="K788" s="1851">
        <f t="shared" si="2"/>
        <v>0</v>
      </c>
      <c r="L788" s="1851">
        <f t="shared" si="3"/>
        <v>0</v>
      </c>
      <c r="M788" s="1725">
        <f>'Part VI-Revenues &amp; Expenses'!M31</f>
        <v>0</v>
      </c>
      <c r="N788" s="1725">
        <f>'Part VI-Revenues &amp; Expenses'!N31</f>
        <v>0</v>
      </c>
      <c r="O788" s="1725">
        <f>'Part VI-Revenues &amp; Expenses'!O31</f>
        <v>0</v>
      </c>
      <c r="P788" s="1831">
        <f>'Part VI-Revenues &amp; Expenses'!P31</f>
        <v>0</v>
      </c>
      <c r="Q788" s="1852" t="str">
        <f>'Part VI-Revenues &amp; Expenses'!Q31</f>
        <v/>
      </c>
      <c r="R788" s="1853" t="str">
        <f>'Part VI-Revenues &amp; Expenses'!R31</f>
        <v/>
      </c>
      <c r="S788" s="1852">
        <f>'Part VI-Revenues &amp; Expenses'!S31</f>
        <v>0</v>
      </c>
      <c r="T788" s="1853">
        <f>'Part VI-Revenues &amp; Expenses'!T31</f>
        <v>0</v>
      </c>
      <c r="U788" s="1775"/>
      <c r="V788" s="1775"/>
      <c r="W788" s="683" t="str">
        <f t="shared" si="4"/>
        <v/>
      </c>
      <c r="X788" s="683" t="str">
        <f t="shared" si="5"/>
        <v/>
      </c>
      <c r="Y788" s="683" t="str">
        <f t="shared" si="6"/>
        <v/>
      </c>
      <c r="Z788" s="683" t="str">
        <f t="shared" si="7"/>
        <v/>
      </c>
      <c r="AA788" s="683" t="str">
        <f t="shared" si="8"/>
        <v/>
      </c>
      <c r="AB788" s="683" t="str">
        <f t="shared" si="9"/>
        <v/>
      </c>
      <c r="AC788" s="683" t="str">
        <f t="shared" si="10"/>
        <v/>
      </c>
      <c r="AD788" s="683" t="str">
        <f t="shared" si="11"/>
        <v/>
      </c>
      <c r="AE788" s="683" t="str">
        <f t="shared" si="12"/>
        <v/>
      </c>
      <c r="AF788" s="683" t="str">
        <f t="shared" si="13"/>
        <v/>
      </c>
      <c r="AG788" s="683" t="str">
        <f t="shared" si="14"/>
        <v/>
      </c>
      <c r="AH788" s="683" t="str">
        <f t="shared" si="15"/>
        <v/>
      </c>
      <c r="AI788" s="683" t="str">
        <f t="shared" si="16"/>
        <v/>
      </c>
      <c r="AJ788" s="683" t="str">
        <f t="shared" si="17"/>
        <v/>
      </c>
      <c r="AK788" s="683" t="str">
        <f t="shared" si="18"/>
        <v/>
      </c>
      <c r="AL788" s="683" t="str">
        <f t="shared" si="19"/>
        <v/>
      </c>
      <c r="AM788" s="683" t="str">
        <f t="shared" si="20"/>
        <v/>
      </c>
      <c r="AN788" s="683" t="str">
        <f t="shared" si="21"/>
        <v/>
      </c>
      <c r="AO788" s="683" t="str">
        <f t="shared" si="22"/>
        <v/>
      </c>
      <c r="AP788" s="683" t="str">
        <f t="shared" si="23"/>
        <v/>
      </c>
      <c r="AQ788" s="683" t="str">
        <f t="shared" si="24"/>
        <v/>
      </c>
      <c r="AR788" s="683" t="str">
        <f t="shared" si="25"/>
        <v/>
      </c>
      <c r="AS788" s="683" t="str">
        <f t="shared" si="26"/>
        <v/>
      </c>
      <c r="AT788" s="683" t="str">
        <f t="shared" si="27"/>
        <v/>
      </c>
      <c r="AU788" s="683" t="str">
        <f t="shared" si="28"/>
        <v/>
      </c>
      <c r="AV788" s="683" t="str">
        <f t="shared" si="29"/>
        <v/>
      </c>
      <c r="AW788" s="683" t="str">
        <f t="shared" si="30"/>
        <v/>
      </c>
      <c r="AX788" s="683" t="str">
        <f t="shared" si="31"/>
        <v/>
      </c>
      <c r="AY788" s="683" t="str">
        <f t="shared" si="32"/>
        <v/>
      </c>
      <c r="AZ788" s="683" t="str">
        <f t="shared" si="33"/>
        <v/>
      </c>
      <c r="BA788" s="683" t="str">
        <f t="shared" si="34"/>
        <v/>
      </c>
      <c r="BB788" s="683" t="str">
        <f t="shared" si="35"/>
        <v/>
      </c>
      <c r="BC788" s="683" t="str">
        <f t="shared" si="36"/>
        <v/>
      </c>
      <c r="BD788" s="683" t="str">
        <f t="shared" si="37"/>
        <v/>
      </c>
      <c r="BE788" s="683" t="str">
        <f t="shared" si="38"/>
        <v/>
      </c>
      <c r="BF788" s="683" t="str">
        <f t="shared" si="39"/>
        <v/>
      </c>
      <c r="BG788" s="683" t="str">
        <f t="shared" si="40"/>
        <v/>
      </c>
      <c r="BH788" s="683" t="str">
        <f t="shared" si="41"/>
        <v/>
      </c>
      <c r="BI788" s="683" t="str">
        <f t="shared" si="42"/>
        <v/>
      </c>
      <c r="BJ788" s="683" t="str">
        <f t="shared" si="43"/>
        <v/>
      </c>
      <c r="BK788" s="683" t="str">
        <f t="shared" si="44"/>
        <v/>
      </c>
      <c r="BL788" s="683" t="str">
        <f t="shared" si="45"/>
        <v/>
      </c>
      <c r="BM788" s="683" t="str">
        <f t="shared" si="46"/>
        <v/>
      </c>
      <c r="BN788" s="683" t="str">
        <f t="shared" si="47"/>
        <v/>
      </c>
      <c r="BO788" s="683" t="str">
        <f t="shared" si="48"/>
        <v/>
      </c>
      <c r="BP788" s="683" t="str">
        <f t="shared" si="49"/>
        <v/>
      </c>
      <c r="BQ788" s="683" t="str">
        <f t="shared" si="50"/>
        <v/>
      </c>
      <c r="BR788" s="683" t="str">
        <f t="shared" si="51"/>
        <v/>
      </c>
      <c r="BS788" s="683" t="str">
        <f t="shared" si="52"/>
        <v/>
      </c>
      <c r="BT788" s="683" t="str">
        <f t="shared" si="53"/>
        <v/>
      </c>
      <c r="BU788" s="683" t="str">
        <f t="shared" si="54"/>
        <v/>
      </c>
      <c r="BV788" s="683" t="str">
        <f t="shared" si="55"/>
        <v/>
      </c>
      <c r="BW788" s="683" t="str">
        <f t="shared" si="56"/>
        <v/>
      </c>
      <c r="BX788" s="683" t="str">
        <f t="shared" si="57"/>
        <v/>
      </c>
      <c r="BY788" s="683" t="str">
        <f t="shared" si="58"/>
        <v/>
      </c>
      <c r="BZ788" s="683" t="str">
        <f t="shared" si="59"/>
        <v/>
      </c>
      <c r="CA788" s="683" t="str">
        <f t="shared" si="60"/>
        <v/>
      </c>
      <c r="CB788" s="683" t="str">
        <f t="shared" si="61"/>
        <v/>
      </c>
      <c r="CC788" s="683" t="str">
        <f t="shared" si="62"/>
        <v/>
      </c>
      <c r="CD788" s="683" t="str">
        <f t="shared" si="63"/>
        <v/>
      </c>
      <c r="CE788" s="683" t="str">
        <f t="shared" si="64"/>
        <v/>
      </c>
      <c r="CF788" s="683" t="str">
        <f t="shared" si="65"/>
        <v/>
      </c>
      <c r="CG788" s="683" t="str">
        <f t="shared" si="66"/>
        <v/>
      </c>
      <c r="CH788" s="683" t="str">
        <f t="shared" si="67"/>
        <v/>
      </c>
      <c r="CI788" s="683" t="str">
        <f t="shared" si="68"/>
        <v/>
      </c>
      <c r="CJ788" s="683" t="str">
        <f t="shared" si="69"/>
        <v/>
      </c>
      <c r="CK788" s="683" t="str">
        <f t="shared" si="70"/>
        <v/>
      </c>
      <c r="CL788" s="683" t="str">
        <f t="shared" si="71"/>
        <v/>
      </c>
      <c r="CM788" s="683" t="str">
        <f t="shared" si="72"/>
        <v/>
      </c>
      <c r="CN788" s="683" t="str">
        <f t="shared" si="73"/>
        <v/>
      </c>
      <c r="CO788" s="683" t="str">
        <f t="shared" si="74"/>
        <v/>
      </c>
      <c r="CP788" s="683" t="str">
        <f t="shared" si="75"/>
        <v/>
      </c>
      <c r="CQ788" s="683" t="str">
        <f t="shared" si="76"/>
        <v/>
      </c>
      <c r="CR788" s="683" t="str">
        <f t="shared" si="77"/>
        <v/>
      </c>
      <c r="CS788" s="683" t="str">
        <f t="shared" si="78"/>
        <v/>
      </c>
      <c r="CT788" s="683" t="str">
        <f t="shared" si="79"/>
        <v/>
      </c>
      <c r="CU788" s="683" t="str">
        <f t="shared" si="80"/>
        <v/>
      </c>
      <c r="CV788" s="683" t="str">
        <f t="shared" si="81"/>
        <v/>
      </c>
      <c r="CW788" s="683" t="str">
        <f t="shared" si="82"/>
        <v/>
      </c>
      <c r="CX788" s="683" t="str">
        <f t="shared" si="83"/>
        <v/>
      </c>
      <c r="CY788" s="683" t="str">
        <f t="shared" si="84"/>
        <v/>
      </c>
      <c r="CZ788" s="683" t="str">
        <f t="shared" si="85"/>
        <v/>
      </c>
      <c r="DA788" s="683" t="str">
        <f t="shared" si="86"/>
        <v/>
      </c>
      <c r="DB788" s="683" t="str">
        <f t="shared" si="87"/>
        <v/>
      </c>
      <c r="DC788" s="683" t="str">
        <f t="shared" si="88"/>
        <v/>
      </c>
      <c r="DD788" s="683" t="str">
        <f t="shared" si="89"/>
        <v/>
      </c>
      <c r="DE788" s="683" t="str">
        <f t="shared" si="90"/>
        <v/>
      </c>
      <c r="DF788" s="683" t="str">
        <f t="shared" si="91"/>
        <v/>
      </c>
      <c r="DG788" s="683" t="str">
        <f t="shared" si="92"/>
        <v/>
      </c>
      <c r="DH788" s="683" t="str">
        <f t="shared" si="93"/>
        <v/>
      </c>
      <c r="DI788" s="683" t="str">
        <f t="shared" si="94"/>
        <v/>
      </c>
      <c r="DJ788" s="683" t="str">
        <f t="shared" si="95"/>
        <v/>
      </c>
      <c r="DK788" s="683" t="str">
        <f t="shared" si="96"/>
        <v/>
      </c>
      <c r="DL788" s="683" t="str">
        <f t="shared" si="97"/>
        <v/>
      </c>
      <c r="DM788" s="683" t="str">
        <f t="shared" si="98"/>
        <v/>
      </c>
      <c r="DN788" s="683" t="str">
        <f t="shared" si="99"/>
        <v/>
      </c>
      <c r="DO788" s="683" t="str">
        <f t="shared" si="100"/>
        <v/>
      </c>
      <c r="DP788" s="683" t="str">
        <f t="shared" si="101"/>
        <v/>
      </c>
      <c r="DQ788" s="683" t="str">
        <f t="shared" si="102"/>
        <v/>
      </c>
      <c r="DR788" s="683" t="str">
        <f t="shared" si="103"/>
        <v/>
      </c>
      <c r="DS788" s="683" t="str">
        <f t="shared" si="104"/>
        <v/>
      </c>
      <c r="DT788" s="683" t="str">
        <f t="shared" si="105"/>
        <v/>
      </c>
      <c r="DU788" s="683" t="str">
        <f t="shared" si="106"/>
        <v/>
      </c>
      <c r="DV788" s="683" t="str">
        <f t="shared" si="107"/>
        <v/>
      </c>
      <c r="DW788" s="683" t="str">
        <f t="shared" si="108"/>
        <v/>
      </c>
      <c r="DX788" s="683" t="str">
        <f t="shared" si="109"/>
        <v/>
      </c>
      <c r="DY788" s="683" t="str">
        <f t="shared" si="110"/>
        <v/>
      </c>
      <c r="DZ788" s="683" t="str">
        <f t="shared" si="111"/>
        <v/>
      </c>
      <c r="EA788" s="683" t="str">
        <f t="shared" si="112"/>
        <v/>
      </c>
      <c r="EB788" s="683" t="str">
        <f t="shared" si="113"/>
        <v/>
      </c>
      <c r="EC788" s="683" t="str">
        <f t="shared" si="114"/>
        <v/>
      </c>
      <c r="ED788" s="683" t="str">
        <f t="shared" si="115"/>
        <v/>
      </c>
      <c r="EE788" s="683" t="str">
        <f t="shared" si="116"/>
        <v/>
      </c>
      <c r="EF788" s="683" t="str">
        <f t="shared" si="117"/>
        <v/>
      </c>
      <c r="EG788" s="683" t="str">
        <f t="shared" si="118"/>
        <v/>
      </c>
      <c r="EH788" s="683" t="str">
        <f t="shared" si="119"/>
        <v/>
      </c>
      <c r="EI788" s="683" t="str">
        <f t="shared" si="120"/>
        <v/>
      </c>
      <c r="EJ788" s="683" t="str">
        <f t="shared" si="121"/>
        <v/>
      </c>
      <c r="EK788" s="683" t="str">
        <f t="shared" si="122"/>
        <v/>
      </c>
      <c r="EL788" s="683" t="str">
        <f t="shared" si="123"/>
        <v/>
      </c>
      <c r="EM788" s="683" t="str">
        <f t="shared" si="124"/>
        <v/>
      </c>
      <c r="EN788" s="683" t="str">
        <f t="shared" si="125"/>
        <v/>
      </c>
      <c r="EO788" s="683" t="str">
        <f t="shared" si="126"/>
        <v/>
      </c>
      <c r="EP788" s="683" t="str">
        <f t="shared" si="127"/>
        <v/>
      </c>
      <c r="EQ788" s="683" t="str">
        <f t="shared" si="128"/>
        <v/>
      </c>
      <c r="ER788" s="683" t="str">
        <f t="shared" si="129"/>
        <v/>
      </c>
      <c r="ES788" s="683" t="str">
        <f t="shared" si="130"/>
        <v/>
      </c>
      <c r="ET788" s="683" t="str">
        <f t="shared" si="131"/>
        <v/>
      </c>
      <c r="EU788" s="683" t="str">
        <f t="shared" si="132"/>
        <v/>
      </c>
      <c r="EV788" s="683" t="str">
        <f t="shared" si="133"/>
        <v/>
      </c>
      <c r="EW788" s="1854" t="str">
        <f t="shared" si="134"/>
        <v/>
      </c>
      <c r="EX788" s="1854" t="str">
        <f t="shared" si="135"/>
        <v/>
      </c>
      <c r="EY788" s="1854" t="str">
        <f t="shared" si="136"/>
        <v/>
      </c>
      <c r="EZ788" s="1854" t="str">
        <f t="shared" si="137"/>
        <v/>
      </c>
      <c r="FA788" s="1854" t="str">
        <f t="shared" si="138"/>
        <v/>
      </c>
      <c r="FB788" s="1854" t="str">
        <f t="shared" si="139"/>
        <v/>
      </c>
      <c r="FC788" s="1854" t="str">
        <f t="shared" si="140"/>
        <v/>
      </c>
      <c r="FD788" s="1854" t="str">
        <f t="shared" si="141"/>
        <v/>
      </c>
      <c r="FE788" s="1854" t="str">
        <f t="shared" si="142"/>
        <v/>
      </c>
      <c r="FF788" s="1854" t="str">
        <f t="shared" si="143"/>
        <v/>
      </c>
      <c r="FG788" s="1854" t="str">
        <f t="shared" si="144"/>
        <v/>
      </c>
      <c r="FH788" s="1854" t="str">
        <f t="shared" si="145"/>
        <v/>
      </c>
      <c r="FI788" s="1854" t="str">
        <f t="shared" si="146"/>
        <v/>
      </c>
      <c r="FJ788" s="1854" t="str">
        <f t="shared" si="147"/>
        <v/>
      </c>
      <c r="FK788" s="1854" t="str">
        <f t="shared" si="148"/>
        <v/>
      </c>
      <c r="FL788" s="1854" t="str">
        <f t="shared" si="149"/>
        <v/>
      </c>
      <c r="FM788" s="1854" t="str">
        <f t="shared" si="150"/>
        <v/>
      </c>
      <c r="FN788" s="1854" t="str">
        <f t="shared" si="151"/>
        <v/>
      </c>
      <c r="FO788" s="1854" t="str">
        <f t="shared" si="152"/>
        <v/>
      </c>
      <c r="FP788" s="1854" t="str">
        <f t="shared" si="153"/>
        <v/>
      </c>
      <c r="FQ788" s="1854" t="str">
        <f t="shared" si="154"/>
        <v/>
      </c>
      <c r="FR788" s="1854" t="str">
        <f t="shared" si="155"/>
        <v/>
      </c>
      <c r="FS788" s="1854" t="str">
        <f t="shared" si="156"/>
        <v/>
      </c>
      <c r="FT788" s="1854" t="str">
        <f t="shared" si="157"/>
        <v/>
      </c>
      <c r="FU788" s="1854" t="str">
        <f t="shared" si="158"/>
        <v/>
      </c>
      <c r="FV788" s="1854" t="str">
        <f t="shared" si="159"/>
        <v/>
      </c>
      <c r="FW788" s="1854" t="str">
        <f t="shared" si="160"/>
        <v/>
      </c>
      <c r="FX788" s="1854" t="str">
        <f t="shared" si="161"/>
        <v/>
      </c>
      <c r="FY788" s="1854" t="str">
        <f t="shared" si="162"/>
        <v/>
      </c>
      <c r="FZ788" s="1854" t="str">
        <f t="shared" si="163"/>
        <v/>
      </c>
      <c r="GA788" s="1854" t="str">
        <f t="shared" si="164"/>
        <v/>
      </c>
      <c r="GB788" s="1854" t="str">
        <f t="shared" si="165"/>
        <v/>
      </c>
      <c r="GC788" s="1854" t="str">
        <f t="shared" si="166"/>
        <v/>
      </c>
      <c r="GD788" s="1854" t="str">
        <f t="shared" si="167"/>
        <v/>
      </c>
      <c r="GE788" s="1854" t="str">
        <f t="shared" si="168"/>
        <v/>
      </c>
      <c r="GF788" s="1854" t="str">
        <f t="shared" si="169"/>
        <v/>
      </c>
      <c r="GG788" s="1854" t="str">
        <f t="shared" si="170"/>
        <v/>
      </c>
      <c r="GH788" s="1854" t="str">
        <f t="shared" si="171"/>
        <v/>
      </c>
      <c r="GI788" s="1854" t="str">
        <f t="shared" si="172"/>
        <v/>
      </c>
      <c r="GJ788" s="1854" t="str">
        <f t="shared" si="173"/>
        <v/>
      </c>
      <c r="GK788" s="1854" t="str">
        <f t="shared" si="174"/>
        <v/>
      </c>
      <c r="GL788" s="1854" t="str">
        <f t="shared" si="175"/>
        <v/>
      </c>
      <c r="GM788" s="1854" t="str">
        <f t="shared" si="176"/>
        <v/>
      </c>
      <c r="GN788" s="1854" t="str">
        <f t="shared" si="177"/>
        <v/>
      </c>
      <c r="GO788" s="1854" t="str">
        <f t="shared" si="178"/>
        <v/>
      </c>
      <c r="GP788" s="1854" t="str">
        <f t="shared" si="179"/>
        <v/>
      </c>
      <c r="GQ788" s="1854" t="str">
        <f t="shared" si="180"/>
        <v/>
      </c>
      <c r="GR788" s="1854" t="str">
        <f t="shared" si="181"/>
        <v/>
      </c>
      <c r="GS788" s="1854" t="str">
        <f t="shared" si="182"/>
        <v/>
      </c>
      <c r="GT788" s="1854" t="str">
        <f t="shared" si="183"/>
        <v/>
      </c>
      <c r="GU788" s="1854" t="str">
        <f t="shared" si="184"/>
        <v/>
      </c>
      <c r="GV788" s="1854" t="str">
        <f t="shared" si="185"/>
        <v/>
      </c>
      <c r="GW788" s="1854" t="str">
        <f t="shared" si="186"/>
        <v/>
      </c>
      <c r="GX788" s="1854" t="str">
        <f t="shared" si="187"/>
        <v/>
      </c>
      <c r="GY788" s="1854" t="str">
        <f t="shared" si="188"/>
        <v/>
      </c>
      <c r="GZ788" s="1854" t="str">
        <f t="shared" si="189"/>
        <v/>
      </c>
      <c r="HA788" s="1854" t="str">
        <f t="shared" si="190"/>
        <v/>
      </c>
      <c r="HB788" s="1854" t="str">
        <f t="shared" si="191"/>
        <v/>
      </c>
      <c r="HC788" s="1854" t="str">
        <f t="shared" si="192"/>
        <v/>
      </c>
      <c r="HD788" s="1854" t="str">
        <f t="shared" si="193"/>
        <v/>
      </c>
      <c r="HE788" s="1854" t="str">
        <f t="shared" si="194"/>
        <v/>
      </c>
      <c r="HF788" s="1854" t="str">
        <f t="shared" si="195"/>
        <v/>
      </c>
      <c r="HG788" s="1854" t="str">
        <f t="shared" si="196"/>
        <v/>
      </c>
      <c r="HH788" s="1854" t="str">
        <f t="shared" si="197"/>
        <v/>
      </c>
      <c r="HI788" s="1854" t="str">
        <f t="shared" si="198"/>
        <v/>
      </c>
      <c r="HJ788" s="1854" t="str">
        <f t="shared" si="199"/>
        <v/>
      </c>
      <c r="HK788" s="1854" t="str">
        <f t="shared" si="200"/>
        <v/>
      </c>
      <c r="HL788" s="1854" t="str">
        <f t="shared" si="201"/>
        <v/>
      </c>
      <c r="HM788" s="1854" t="str">
        <f t="shared" si="202"/>
        <v/>
      </c>
      <c r="HN788" s="1854" t="str">
        <f t="shared" si="203"/>
        <v/>
      </c>
      <c r="HO788" s="1854" t="str">
        <f t="shared" si="204"/>
        <v/>
      </c>
      <c r="HP788" s="1854" t="str">
        <f t="shared" si="205"/>
        <v/>
      </c>
      <c r="HQ788" s="1854" t="str">
        <f t="shared" si="206"/>
        <v/>
      </c>
      <c r="HR788" s="1854" t="str">
        <f t="shared" si="207"/>
        <v/>
      </c>
      <c r="HS788" s="1854" t="str">
        <f t="shared" si="208"/>
        <v/>
      </c>
      <c r="HT788" s="1854" t="str">
        <f t="shared" si="209"/>
        <v/>
      </c>
      <c r="HU788" s="1854" t="str">
        <f t="shared" si="210"/>
        <v/>
      </c>
      <c r="HV788" s="1854" t="str">
        <f t="shared" si="211"/>
        <v/>
      </c>
      <c r="HW788" s="1854" t="str">
        <f t="shared" si="212"/>
        <v/>
      </c>
      <c r="HX788" s="1854" t="str">
        <f t="shared" si="213"/>
        <v/>
      </c>
      <c r="HY788" s="1854" t="str">
        <f t="shared" si="214"/>
        <v/>
      </c>
      <c r="HZ788" s="1854" t="str">
        <f t="shared" si="215"/>
        <v/>
      </c>
      <c r="IA788" s="1854" t="str">
        <f t="shared" si="216"/>
        <v/>
      </c>
      <c r="IB788" s="1854" t="str">
        <f t="shared" si="217"/>
        <v/>
      </c>
      <c r="IC788" s="1854" t="str">
        <f t="shared" si="218"/>
        <v/>
      </c>
      <c r="ID788" s="1826" t="str">
        <f t="shared" si="219"/>
        <v/>
      </c>
      <c r="IE788" s="1826" t="str">
        <f t="shared" si="220"/>
        <v/>
      </c>
      <c r="IF788" s="1826" t="str">
        <f t="shared" si="221"/>
        <v/>
      </c>
      <c r="IG788" s="1826" t="str">
        <f t="shared" si="222"/>
        <v/>
      </c>
      <c r="IH788" s="1826" t="str">
        <f t="shared" si="223"/>
        <v/>
      </c>
      <c r="II788" s="683" t="str">
        <f t="shared" si="224"/>
        <v/>
      </c>
      <c r="IJ788" s="683" t="str">
        <f t="shared" si="225"/>
        <v/>
      </c>
      <c r="IK788" s="683" t="str">
        <f t="shared" si="226"/>
        <v/>
      </c>
      <c r="IL788" s="683" t="str">
        <f t="shared" si="227"/>
        <v/>
      </c>
      <c r="IM788" s="683" t="str">
        <f t="shared" si="228"/>
        <v/>
      </c>
      <c r="IN788" s="683" t="str">
        <f t="shared" si="229"/>
        <v/>
      </c>
      <c r="IO788" s="683" t="str">
        <f t="shared" si="230"/>
        <v/>
      </c>
      <c r="IP788" s="683" t="str">
        <f t="shared" si="231"/>
        <v/>
      </c>
      <c r="IQ788" s="683" t="str">
        <f t="shared" si="232"/>
        <v/>
      </c>
      <c r="IR788" s="683" t="str">
        <f t="shared" si="233"/>
        <v/>
      </c>
      <c r="IS788" s="683" t="str">
        <f t="shared" si="234"/>
        <v/>
      </c>
      <c r="IT788" s="683" t="str">
        <f t="shared" si="235"/>
        <v/>
      </c>
      <c r="IU788" s="683" t="str">
        <f t="shared" si="236"/>
        <v/>
      </c>
      <c r="IV788" s="683" t="str">
        <f t="shared" si="237"/>
        <v/>
      </c>
      <c r="IW788" s="683" t="str">
        <f t="shared" si="238"/>
        <v/>
      </c>
      <c r="IX788" s="683" t="str">
        <f t="shared" si="239"/>
        <v/>
      </c>
      <c r="IY788" s="683" t="str">
        <f t="shared" si="240"/>
        <v/>
      </c>
      <c r="IZ788" s="683" t="str">
        <f t="shared" si="241"/>
        <v/>
      </c>
      <c r="JA788" s="683" t="str">
        <f t="shared" si="242"/>
        <v/>
      </c>
      <c r="JB788" s="683" t="str">
        <f t="shared" si="243"/>
        <v/>
      </c>
      <c r="JC788" s="1824">
        <f t="shared" si="244"/>
        <v>0</v>
      </c>
      <c r="JD788" s="1824">
        <f t="shared" si="245"/>
        <v>0</v>
      </c>
      <c r="JE788" s="1824">
        <f t="shared" si="246"/>
        <v>0</v>
      </c>
      <c r="JF788" s="1824">
        <f t="shared" si="247"/>
        <v>0</v>
      </c>
      <c r="JG788" s="1824">
        <f t="shared" si="248"/>
        <v>0</v>
      </c>
      <c r="JH788" s="1824">
        <f t="shared" si="249"/>
        <v>0</v>
      </c>
      <c r="JI788" s="1824">
        <f t="shared" si="250"/>
        <v>0</v>
      </c>
      <c r="JJ788" s="1824">
        <f t="shared" si="251"/>
        <v>0</v>
      </c>
      <c r="JK788" s="1824">
        <f t="shared" si="252"/>
        <v>0</v>
      </c>
      <c r="JL788" s="1824">
        <f t="shared" si="253"/>
        <v>0</v>
      </c>
      <c r="JM788" s="1824">
        <f t="shared" si="254"/>
        <v>0</v>
      </c>
      <c r="JN788" s="1824">
        <f t="shared" si="255"/>
        <v>0</v>
      </c>
      <c r="JO788" s="1824">
        <f t="shared" si="256"/>
        <v>0</v>
      </c>
      <c r="JP788" s="1824">
        <f t="shared" si="257"/>
        <v>0</v>
      </c>
      <c r="JQ788" s="1824">
        <f t="shared" si="258"/>
        <v>0</v>
      </c>
    </row>
    <row r="789" spans="1:277" ht="12" customHeight="1">
      <c r="A789" s="1837" t="str">
        <f t="shared" si="1"/>
        <v/>
      </c>
      <c r="B789" s="1846" t="str">
        <f>'Part VI-Revenues &amp; Expenses'!B32</f>
        <v>&lt;&lt;Select&gt;&gt;</v>
      </c>
      <c r="C789" s="1847">
        <f>'Part VI-Revenues &amp; Expenses'!C32</f>
        <v>0</v>
      </c>
      <c r="D789" s="1848">
        <f>'Part VI-Revenues &amp; Expenses'!D32</f>
        <v>0</v>
      </c>
      <c r="E789" s="1849">
        <f>'Part VI-Revenues &amp; Expenses'!E32</f>
        <v>0</v>
      </c>
      <c r="F789" s="1849">
        <f>'Part VI-Revenues &amp; Expenses'!F32</f>
        <v>0</v>
      </c>
      <c r="G789" s="1849">
        <f>'Part VI-Revenues &amp; Expenses'!G32</f>
        <v>0</v>
      </c>
      <c r="H789" s="1849">
        <f>'Part VI-Revenues &amp; Expenses'!H32</f>
        <v>0</v>
      </c>
      <c r="I789" s="1849">
        <f>'Part VI-Revenues &amp; Expenses'!I32</f>
        <v>0</v>
      </c>
      <c r="J789" s="1850">
        <f>'Part VI-Revenues &amp; Expenses'!J32</f>
        <v>0</v>
      </c>
      <c r="K789" s="1851">
        <f t="shared" si="2"/>
        <v>0</v>
      </c>
      <c r="L789" s="1851">
        <f t="shared" si="3"/>
        <v>0</v>
      </c>
      <c r="M789" s="1725">
        <f>'Part VI-Revenues &amp; Expenses'!M32</f>
        <v>0</v>
      </c>
      <c r="N789" s="1725">
        <f>'Part VI-Revenues &amp; Expenses'!N32</f>
        <v>0</v>
      </c>
      <c r="O789" s="1725">
        <f>'Part VI-Revenues &amp; Expenses'!O32</f>
        <v>0</v>
      </c>
      <c r="P789" s="1831">
        <f>'Part VI-Revenues &amp; Expenses'!P32</f>
        <v>0</v>
      </c>
      <c r="Q789" s="1852" t="str">
        <f>'Part VI-Revenues &amp; Expenses'!Q32</f>
        <v/>
      </c>
      <c r="R789" s="1853" t="str">
        <f>'Part VI-Revenues &amp; Expenses'!R32</f>
        <v/>
      </c>
      <c r="S789" s="1852">
        <f>'Part VI-Revenues &amp; Expenses'!S32</f>
        <v>0</v>
      </c>
      <c r="T789" s="1853">
        <f>'Part VI-Revenues &amp; Expenses'!T32</f>
        <v>0</v>
      </c>
      <c r="U789" s="1775"/>
      <c r="V789" s="1775"/>
      <c r="W789" s="683" t="str">
        <f t="shared" si="4"/>
        <v/>
      </c>
      <c r="X789" s="683" t="str">
        <f t="shared" si="5"/>
        <v/>
      </c>
      <c r="Y789" s="683" t="str">
        <f t="shared" si="6"/>
        <v/>
      </c>
      <c r="Z789" s="683" t="str">
        <f t="shared" si="7"/>
        <v/>
      </c>
      <c r="AA789" s="683" t="str">
        <f t="shared" si="8"/>
        <v/>
      </c>
      <c r="AB789" s="683" t="str">
        <f t="shared" si="9"/>
        <v/>
      </c>
      <c r="AC789" s="683" t="str">
        <f t="shared" si="10"/>
        <v/>
      </c>
      <c r="AD789" s="683" t="str">
        <f t="shared" si="11"/>
        <v/>
      </c>
      <c r="AE789" s="683" t="str">
        <f t="shared" si="12"/>
        <v/>
      </c>
      <c r="AF789" s="683" t="str">
        <f t="shared" si="13"/>
        <v/>
      </c>
      <c r="AG789" s="683" t="str">
        <f t="shared" si="14"/>
        <v/>
      </c>
      <c r="AH789" s="683" t="str">
        <f t="shared" si="15"/>
        <v/>
      </c>
      <c r="AI789" s="683" t="str">
        <f t="shared" si="16"/>
        <v/>
      </c>
      <c r="AJ789" s="683" t="str">
        <f t="shared" si="17"/>
        <v/>
      </c>
      <c r="AK789" s="683" t="str">
        <f t="shared" si="18"/>
        <v/>
      </c>
      <c r="AL789" s="683" t="str">
        <f t="shared" si="19"/>
        <v/>
      </c>
      <c r="AM789" s="683" t="str">
        <f t="shared" si="20"/>
        <v/>
      </c>
      <c r="AN789" s="683" t="str">
        <f t="shared" si="21"/>
        <v/>
      </c>
      <c r="AO789" s="683" t="str">
        <f t="shared" si="22"/>
        <v/>
      </c>
      <c r="AP789" s="683" t="str">
        <f t="shared" si="23"/>
        <v/>
      </c>
      <c r="AQ789" s="683" t="str">
        <f t="shared" si="24"/>
        <v/>
      </c>
      <c r="AR789" s="683" t="str">
        <f t="shared" si="25"/>
        <v/>
      </c>
      <c r="AS789" s="683" t="str">
        <f t="shared" si="26"/>
        <v/>
      </c>
      <c r="AT789" s="683" t="str">
        <f t="shared" si="27"/>
        <v/>
      </c>
      <c r="AU789" s="683" t="str">
        <f t="shared" si="28"/>
        <v/>
      </c>
      <c r="AV789" s="683" t="str">
        <f t="shared" si="29"/>
        <v/>
      </c>
      <c r="AW789" s="683" t="str">
        <f t="shared" si="30"/>
        <v/>
      </c>
      <c r="AX789" s="683" t="str">
        <f t="shared" si="31"/>
        <v/>
      </c>
      <c r="AY789" s="683" t="str">
        <f t="shared" si="32"/>
        <v/>
      </c>
      <c r="AZ789" s="683" t="str">
        <f t="shared" si="33"/>
        <v/>
      </c>
      <c r="BA789" s="683" t="str">
        <f t="shared" si="34"/>
        <v/>
      </c>
      <c r="BB789" s="683" t="str">
        <f t="shared" si="35"/>
        <v/>
      </c>
      <c r="BC789" s="683" t="str">
        <f t="shared" si="36"/>
        <v/>
      </c>
      <c r="BD789" s="683" t="str">
        <f t="shared" si="37"/>
        <v/>
      </c>
      <c r="BE789" s="683" t="str">
        <f t="shared" si="38"/>
        <v/>
      </c>
      <c r="BF789" s="683" t="str">
        <f t="shared" si="39"/>
        <v/>
      </c>
      <c r="BG789" s="683" t="str">
        <f t="shared" si="40"/>
        <v/>
      </c>
      <c r="BH789" s="683" t="str">
        <f t="shared" si="41"/>
        <v/>
      </c>
      <c r="BI789" s="683" t="str">
        <f t="shared" si="42"/>
        <v/>
      </c>
      <c r="BJ789" s="683" t="str">
        <f t="shared" si="43"/>
        <v/>
      </c>
      <c r="BK789" s="683" t="str">
        <f t="shared" si="44"/>
        <v/>
      </c>
      <c r="BL789" s="683" t="str">
        <f t="shared" si="45"/>
        <v/>
      </c>
      <c r="BM789" s="683" t="str">
        <f t="shared" si="46"/>
        <v/>
      </c>
      <c r="BN789" s="683" t="str">
        <f t="shared" si="47"/>
        <v/>
      </c>
      <c r="BO789" s="683" t="str">
        <f t="shared" si="48"/>
        <v/>
      </c>
      <c r="BP789" s="683" t="str">
        <f t="shared" si="49"/>
        <v/>
      </c>
      <c r="BQ789" s="683" t="str">
        <f t="shared" si="50"/>
        <v/>
      </c>
      <c r="BR789" s="683" t="str">
        <f t="shared" si="51"/>
        <v/>
      </c>
      <c r="BS789" s="683" t="str">
        <f t="shared" si="52"/>
        <v/>
      </c>
      <c r="BT789" s="683" t="str">
        <f t="shared" si="53"/>
        <v/>
      </c>
      <c r="BU789" s="683" t="str">
        <f t="shared" si="54"/>
        <v/>
      </c>
      <c r="BV789" s="683" t="str">
        <f t="shared" si="55"/>
        <v/>
      </c>
      <c r="BW789" s="683" t="str">
        <f t="shared" si="56"/>
        <v/>
      </c>
      <c r="BX789" s="683" t="str">
        <f t="shared" si="57"/>
        <v/>
      </c>
      <c r="BY789" s="683" t="str">
        <f t="shared" si="58"/>
        <v/>
      </c>
      <c r="BZ789" s="683" t="str">
        <f t="shared" si="59"/>
        <v/>
      </c>
      <c r="CA789" s="683" t="str">
        <f t="shared" si="60"/>
        <v/>
      </c>
      <c r="CB789" s="683" t="str">
        <f t="shared" si="61"/>
        <v/>
      </c>
      <c r="CC789" s="683" t="str">
        <f t="shared" si="62"/>
        <v/>
      </c>
      <c r="CD789" s="683" t="str">
        <f t="shared" si="63"/>
        <v/>
      </c>
      <c r="CE789" s="683" t="str">
        <f t="shared" si="64"/>
        <v/>
      </c>
      <c r="CF789" s="683" t="str">
        <f t="shared" si="65"/>
        <v/>
      </c>
      <c r="CG789" s="683" t="str">
        <f t="shared" si="66"/>
        <v/>
      </c>
      <c r="CH789" s="683" t="str">
        <f t="shared" si="67"/>
        <v/>
      </c>
      <c r="CI789" s="683" t="str">
        <f t="shared" si="68"/>
        <v/>
      </c>
      <c r="CJ789" s="683" t="str">
        <f t="shared" si="69"/>
        <v/>
      </c>
      <c r="CK789" s="683" t="str">
        <f t="shared" si="70"/>
        <v/>
      </c>
      <c r="CL789" s="683" t="str">
        <f t="shared" si="71"/>
        <v/>
      </c>
      <c r="CM789" s="683" t="str">
        <f t="shared" si="72"/>
        <v/>
      </c>
      <c r="CN789" s="683" t="str">
        <f t="shared" si="73"/>
        <v/>
      </c>
      <c r="CO789" s="683" t="str">
        <f t="shared" si="74"/>
        <v/>
      </c>
      <c r="CP789" s="683" t="str">
        <f t="shared" si="75"/>
        <v/>
      </c>
      <c r="CQ789" s="683" t="str">
        <f t="shared" si="76"/>
        <v/>
      </c>
      <c r="CR789" s="683" t="str">
        <f t="shared" si="77"/>
        <v/>
      </c>
      <c r="CS789" s="683" t="str">
        <f t="shared" si="78"/>
        <v/>
      </c>
      <c r="CT789" s="683" t="str">
        <f t="shared" si="79"/>
        <v/>
      </c>
      <c r="CU789" s="683" t="str">
        <f t="shared" si="80"/>
        <v/>
      </c>
      <c r="CV789" s="683" t="str">
        <f t="shared" si="81"/>
        <v/>
      </c>
      <c r="CW789" s="683" t="str">
        <f t="shared" si="82"/>
        <v/>
      </c>
      <c r="CX789" s="683" t="str">
        <f t="shared" si="83"/>
        <v/>
      </c>
      <c r="CY789" s="683" t="str">
        <f t="shared" si="84"/>
        <v/>
      </c>
      <c r="CZ789" s="683" t="str">
        <f t="shared" si="85"/>
        <v/>
      </c>
      <c r="DA789" s="683" t="str">
        <f t="shared" si="86"/>
        <v/>
      </c>
      <c r="DB789" s="683" t="str">
        <f t="shared" si="87"/>
        <v/>
      </c>
      <c r="DC789" s="683" t="str">
        <f t="shared" si="88"/>
        <v/>
      </c>
      <c r="DD789" s="683" t="str">
        <f t="shared" si="89"/>
        <v/>
      </c>
      <c r="DE789" s="683" t="str">
        <f t="shared" si="90"/>
        <v/>
      </c>
      <c r="DF789" s="683" t="str">
        <f t="shared" si="91"/>
        <v/>
      </c>
      <c r="DG789" s="683" t="str">
        <f t="shared" si="92"/>
        <v/>
      </c>
      <c r="DH789" s="683" t="str">
        <f t="shared" si="93"/>
        <v/>
      </c>
      <c r="DI789" s="683" t="str">
        <f t="shared" si="94"/>
        <v/>
      </c>
      <c r="DJ789" s="683" t="str">
        <f t="shared" si="95"/>
        <v/>
      </c>
      <c r="DK789" s="683" t="str">
        <f t="shared" si="96"/>
        <v/>
      </c>
      <c r="DL789" s="683" t="str">
        <f t="shared" si="97"/>
        <v/>
      </c>
      <c r="DM789" s="683" t="str">
        <f t="shared" si="98"/>
        <v/>
      </c>
      <c r="DN789" s="683" t="str">
        <f t="shared" si="99"/>
        <v/>
      </c>
      <c r="DO789" s="683" t="str">
        <f t="shared" si="100"/>
        <v/>
      </c>
      <c r="DP789" s="683" t="str">
        <f t="shared" si="101"/>
        <v/>
      </c>
      <c r="DQ789" s="683" t="str">
        <f t="shared" si="102"/>
        <v/>
      </c>
      <c r="DR789" s="683" t="str">
        <f t="shared" si="103"/>
        <v/>
      </c>
      <c r="DS789" s="683" t="str">
        <f t="shared" si="104"/>
        <v/>
      </c>
      <c r="DT789" s="683" t="str">
        <f t="shared" si="105"/>
        <v/>
      </c>
      <c r="DU789" s="683" t="str">
        <f t="shared" si="106"/>
        <v/>
      </c>
      <c r="DV789" s="683" t="str">
        <f t="shared" si="107"/>
        <v/>
      </c>
      <c r="DW789" s="683" t="str">
        <f t="shared" si="108"/>
        <v/>
      </c>
      <c r="DX789" s="683" t="str">
        <f t="shared" si="109"/>
        <v/>
      </c>
      <c r="DY789" s="683" t="str">
        <f t="shared" si="110"/>
        <v/>
      </c>
      <c r="DZ789" s="683" t="str">
        <f t="shared" si="111"/>
        <v/>
      </c>
      <c r="EA789" s="683" t="str">
        <f t="shared" si="112"/>
        <v/>
      </c>
      <c r="EB789" s="683" t="str">
        <f t="shared" si="113"/>
        <v/>
      </c>
      <c r="EC789" s="683" t="str">
        <f t="shared" si="114"/>
        <v/>
      </c>
      <c r="ED789" s="683" t="str">
        <f t="shared" si="115"/>
        <v/>
      </c>
      <c r="EE789" s="683" t="str">
        <f t="shared" si="116"/>
        <v/>
      </c>
      <c r="EF789" s="683" t="str">
        <f t="shared" si="117"/>
        <v/>
      </c>
      <c r="EG789" s="683" t="str">
        <f t="shared" si="118"/>
        <v/>
      </c>
      <c r="EH789" s="683" t="str">
        <f t="shared" si="119"/>
        <v/>
      </c>
      <c r="EI789" s="683" t="str">
        <f t="shared" si="120"/>
        <v/>
      </c>
      <c r="EJ789" s="683" t="str">
        <f t="shared" si="121"/>
        <v/>
      </c>
      <c r="EK789" s="683" t="str">
        <f t="shared" si="122"/>
        <v/>
      </c>
      <c r="EL789" s="683" t="str">
        <f t="shared" si="123"/>
        <v/>
      </c>
      <c r="EM789" s="683" t="str">
        <f t="shared" si="124"/>
        <v/>
      </c>
      <c r="EN789" s="683" t="str">
        <f t="shared" si="125"/>
        <v/>
      </c>
      <c r="EO789" s="683" t="str">
        <f t="shared" si="126"/>
        <v/>
      </c>
      <c r="EP789" s="683" t="str">
        <f t="shared" si="127"/>
        <v/>
      </c>
      <c r="EQ789" s="683" t="str">
        <f t="shared" si="128"/>
        <v/>
      </c>
      <c r="ER789" s="683" t="str">
        <f t="shared" si="129"/>
        <v/>
      </c>
      <c r="ES789" s="683" t="str">
        <f t="shared" si="130"/>
        <v/>
      </c>
      <c r="ET789" s="683" t="str">
        <f t="shared" si="131"/>
        <v/>
      </c>
      <c r="EU789" s="683" t="str">
        <f t="shared" si="132"/>
        <v/>
      </c>
      <c r="EV789" s="683" t="str">
        <f t="shared" si="133"/>
        <v/>
      </c>
      <c r="EW789" s="1854" t="str">
        <f t="shared" si="134"/>
        <v/>
      </c>
      <c r="EX789" s="1854" t="str">
        <f t="shared" si="135"/>
        <v/>
      </c>
      <c r="EY789" s="1854" t="str">
        <f t="shared" si="136"/>
        <v/>
      </c>
      <c r="EZ789" s="1854" t="str">
        <f t="shared" si="137"/>
        <v/>
      </c>
      <c r="FA789" s="1854" t="str">
        <f t="shared" si="138"/>
        <v/>
      </c>
      <c r="FB789" s="1854" t="str">
        <f t="shared" si="139"/>
        <v/>
      </c>
      <c r="FC789" s="1854" t="str">
        <f t="shared" si="140"/>
        <v/>
      </c>
      <c r="FD789" s="1854" t="str">
        <f t="shared" si="141"/>
        <v/>
      </c>
      <c r="FE789" s="1854" t="str">
        <f t="shared" si="142"/>
        <v/>
      </c>
      <c r="FF789" s="1854" t="str">
        <f t="shared" si="143"/>
        <v/>
      </c>
      <c r="FG789" s="1854" t="str">
        <f t="shared" si="144"/>
        <v/>
      </c>
      <c r="FH789" s="1854" t="str">
        <f t="shared" si="145"/>
        <v/>
      </c>
      <c r="FI789" s="1854" t="str">
        <f t="shared" si="146"/>
        <v/>
      </c>
      <c r="FJ789" s="1854" t="str">
        <f t="shared" si="147"/>
        <v/>
      </c>
      <c r="FK789" s="1854" t="str">
        <f t="shared" si="148"/>
        <v/>
      </c>
      <c r="FL789" s="1854" t="str">
        <f t="shared" si="149"/>
        <v/>
      </c>
      <c r="FM789" s="1854" t="str">
        <f t="shared" si="150"/>
        <v/>
      </c>
      <c r="FN789" s="1854" t="str">
        <f t="shared" si="151"/>
        <v/>
      </c>
      <c r="FO789" s="1854" t="str">
        <f t="shared" si="152"/>
        <v/>
      </c>
      <c r="FP789" s="1854" t="str">
        <f t="shared" si="153"/>
        <v/>
      </c>
      <c r="FQ789" s="1854" t="str">
        <f t="shared" si="154"/>
        <v/>
      </c>
      <c r="FR789" s="1854" t="str">
        <f t="shared" si="155"/>
        <v/>
      </c>
      <c r="FS789" s="1854" t="str">
        <f t="shared" si="156"/>
        <v/>
      </c>
      <c r="FT789" s="1854" t="str">
        <f t="shared" si="157"/>
        <v/>
      </c>
      <c r="FU789" s="1854" t="str">
        <f t="shared" si="158"/>
        <v/>
      </c>
      <c r="FV789" s="1854" t="str">
        <f t="shared" si="159"/>
        <v/>
      </c>
      <c r="FW789" s="1854" t="str">
        <f t="shared" si="160"/>
        <v/>
      </c>
      <c r="FX789" s="1854" t="str">
        <f t="shared" si="161"/>
        <v/>
      </c>
      <c r="FY789" s="1854" t="str">
        <f t="shared" si="162"/>
        <v/>
      </c>
      <c r="FZ789" s="1854" t="str">
        <f t="shared" si="163"/>
        <v/>
      </c>
      <c r="GA789" s="1854" t="str">
        <f t="shared" si="164"/>
        <v/>
      </c>
      <c r="GB789" s="1854" t="str">
        <f t="shared" si="165"/>
        <v/>
      </c>
      <c r="GC789" s="1854" t="str">
        <f t="shared" si="166"/>
        <v/>
      </c>
      <c r="GD789" s="1854" t="str">
        <f t="shared" si="167"/>
        <v/>
      </c>
      <c r="GE789" s="1854" t="str">
        <f t="shared" si="168"/>
        <v/>
      </c>
      <c r="GF789" s="1854" t="str">
        <f t="shared" si="169"/>
        <v/>
      </c>
      <c r="GG789" s="1854" t="str">
        <f t="shared" si="170"/>
        <v/>
      </c>
      <c r="GH789" s="1854" t="str">
        <f t="shared" si="171"/>
        <v/>
      </c>
      <c r="GI789" s="1854" t="str">
        <f t="shared" si="172"/>
        <v/>
      </c>
      <c r="GJ789" s="1854" t="str">
        <f t="shared" si="173"/>
        <v/>
      </c>
      <c r="GK789" s="1854" t="str">
        <f t="shared" si="174"/>
        <v/>
      </c>
      <c r="GL789" s="1854" t="str">
        <f t="shared" si="175"/>
        <v/>
      </c>
      <c r="GM789" s="1854" t="str">
        <f t="shared" si="176"/>
        <v/>
      </c>
      <c r="GN789" s="1854" t="str">
        <f t="shared" si="177"/>
        <v/>
      </c>
      <c r="GO789" s="1854" t="str">
        <f t="shared" si="178"/>
        <v/>
      </c>
      <c r="GP789" s="1854" t="str">
        <f t="shared" si="179"/>
        <v/>
      </c>
      <c r="GQ789" s="1854" t="str">
        <f t="shared" si="180"/>
        <v/>
      </c>
      <c r="GR789" s="1854" t="str">
        <f t="shared" si="181"/>
        <v/>
      </c>
      <c r="GS789" s="1854" t="str">
        <f t="shared" si="182"/>
        <v/>
      </c>
      <c r="GT789" s="1854" t="str">
        <f t="shared" si="183"/>
        <v/>
      </c>
      <c r="GU789" s="1854" t="str">
        <f t="shared" si="184"/>
        <v/>
      </c>
      <c r="GV789" s="1854" t="str">
        <f t="shared" si="185"/>
        <v/>
      </c>
      <c r="GW789" s="1854" t="str">
        <f t="shared" si="186"/>
        <v/>
      </c>
      <c r="GX789" s="1854" t="str">
        <f t="shared" si="187"/>
        <v/>
      </c>
      <c r="GY789" s="1854" t="str">
        <f t="shared" si="188"/>
        <v/>
      </c>
      <c r="GZ789" s="1854" t="str">
        <f t="shared" si="189"/>
        <v/>
      </c>
      <c r="HA789" s="1854" t="str">
        <f t="shared" si="190"/>
        <v/>
      </c>
      <c r="HB789" s="1854" t="str">
        <f t="shared" si="191"/>
        <v/>
      </c>
      <c r="HC789" s="1854" t="str">
        <f t="shared" si="192"/>
        <v/>
      </c>
      <c r="HD789" s="1854" t="str">
        <f t="shared" si="193"/>
        <v/>
      </c>
      <c r="HE789" s="1854" t="str">
        <f t="shared" si="194"/>
        <v/>
      </c>
      <c r="HF789" s="1854" t="str">
        <f t="shared" si="195"/>
        <v/>
      </c>
      <c r="HG789" s="1854" t="str">
        <f t="shared" si="196"/>
        <v/>
      </c>
      <c r="HH789" s="1854" t="str">
        <f t="shared" si="197"/>
        <v/>
      </c>
      <c r="HI789" s="1854" t="str">
        <f t="shared" si="198"/>
        <v/>
      </c>
      <c r="HJ789" s="1854" t="str">
        <f t="shared" si="199"/>
        <v/>
      </c>
      <c r="HK789" s="1854" t="str">
        <f t="shared" si="200"/>
        <v/>
      </c>
      <c r="HL789" s="1854" t="str">
        <f t="shared" si="201"/>
        <v/>
      </c>
      <c r="HM789" s="1854" t="str">
        <f t="shared" si="202"/>
        <v/>
      </c>
      <c r="HN789" s="1854" t="str">
        <f t="shared" si="203"/>
        <v/>
      </c>
      <c r="HO789" s="1854" t="str">
        <f t="shared" si="204"/>
        <v/>
      </c>
      <c r="HP789" s="1854" t="str">
        <f t="shared" si="205"/>
        <v/>
      </c>
      <c r="HQ789" s="1854" t="str">
        <f t="shared" si="206"/>
        <v/>
      </c>
      <c r="HR789" s="1854" t="str">
        <f t="shared" si="207"/>
        <v/>
      </c>
      <c r="HS789" s="1854" t="str">
        <f t="shared" si="208"/>
        <v/>
      </c>
      <c r="HT789" s="1854" t="str">
        <f t="shared" si="209"/>
        <v/>
      </c>
      <c r="HU789" s="1854" t="str">
        <f t="shared" si="210"/>
        <v/>
      </c>
      <c r="HV789" s="1854" t="str">
        <f t="shared" si="211"/>
        <v/>
      </c>
      <c r="HW789" s="1854" t="str">
        <f t="shared" si="212"/>
        <v/>
      </c>
      <c r="HX789" s="1854" t="str">
        <f t="shared" si="213"/>
        <v/>
      </c>
      <c r="HY789" s="1854" t="str">
        <f t="shared" si="214"/>
        <v/>
      </c>
      <c r="HZ789" s="1854" t="str">
        <f t="shared" si="215"/>
        <v/>
      </c>
      <c r="IA789" s="1854" t="str">
        <f t="shared" si="216"/>
        <v/>
      </c>
      <c r="IB789" s="1854" t="str">
        <f t="shared" si="217"/>
        <v/>
      </c>
      <c r="IC789" s="1854" t="str">
        <f t="shared" si="218"/>
        <v/>
      </c>
      <c r="ID789" s="1826" t="str">
        <f t="shared" si="219"/>
        <v/>
      </c>
      <c r="IE789" s="1826" t="str">
        <f t="shared" si="220"/>
        <v/>
      </c>
      <c r="IF789" s="1826" t="str">
        <f t="shared" si="221"/>
        <v/>
      </c>
      <c r="IG789" s="1826" t="str">
        <f t="shared" si="222"/>
        <v/>
      </c>
      <c r="IH789" s="1826" t="str">
        <f t="shared" si="223"/>
        <v/>
      </c>
      <c r="II789" s="683" t="str">
        <f t="shared" si="224"/>
        <v/>
      </c>
      <c r="IJ789" s="683" t="str">
        <f t="shared" si="225"/>
        <v/>
      </c>
      <c r="IK789" s="683" t="str">
        <f t="shared" si="226"/>
        <v/>
      </c>
      <c r="IL789" s="683" t="str">
        <f t="shared" si="227"/>
        <v/>
      </c>
      <c r="IM789" s="683" t="str">
        <f t="shared" si="228"/>
        <v/>
      </c>
      <c r="IN789" s="683" t="str">
        <f t="shared" si="229"/>
        <v/>
      </c>
      <c r="IO789" s="683" t="str">
        <f t="shared" si="230"/>
        <v/>
      </c>
      <c r="IP789" s="683" t="str">
        <f t="shared" si="231"/>
        <v/>
      </c>
      <c r="IQ789" s="683" t="str">
        <f t="shared" si="232"/>
        <v/>
      </c>
      <c r="IR789" s="683" t="str">
        <f t="shared" si="233"/>
        <v/>
      </c>
      <c r="IS789" s="683" t="str">
        <f t="shared" si="234"/>
        <v/>
      </c>
      <c r="IT789" s="683" t="str">
        <f t="shared" si="235"/>
        <v/>
      </c>
      <c r="IU789" s="683" t="str">
        <f t="shared" si="236"/>
        <v/>
      </c>
      <c r="IV789" s="683" t="str">
        <f t="shared" si="237"/>
        <v/>
      </c>
      <c r="IW789" s="683" t="str">
        <f t="shared" si="238"/>
        <v/>
      </c>
      <c r="IX789" s="683" t="str">
        <f t="shared" si="239"/>
        <v/>
      </c>
      <c r="IY789" s="683" t="str">
        <f t="shared" si="240"/>
        <v/>
      </c>
      <c r="IZ789" s="683" t="str">
        <f t="shared" si="241"/>
        <v/>
      </c>
      <c r="JA789" s="683" t="str">
        <f t="shared" si="242"/>
        <v/>
      </c>
      <c r="JB789" s="683" t="str">
        <f t="shared" si="243"/>
        <v/>
      </c>
      <c r="JC789" s="1824">
        <f t="shared" si="244"/>
        <v>0</v>
      </c>
      <c r="JD789" s="1824">
        <f t="shared" si="245"/>
        <v>0</v>
      </c>
      <c r="JE789" s="1824">
        <f t="shared" si="246"/>
        <v>0</v>
      </c>
      <c r="JF789" s="1824">
        <f t="shared" si="247"/>
        <v>0</v>
      </c>
      <c r="JG789" s="1824">
        <f t="shared" si="248"/>
        <v>0</v>
      </c>
      <c r="JH789" s="1824">
        <f t="shared" si="249"/>
        <v>0</v>
      </c>
      <c r="JI789" s="1824">
        <f t="shared" si="250"/>
        <v>0</v>
      </c>
      <c r="JJ789" s="1824">
        <f t="shared" si="251"/>
        <v>0</v>
      </c>
      <c r="JK789" s="1824">
        <f t="shared" si="252"/>
        <v>0</v>
      </c>
      <c r="JL789" s="1824">
        <f t="shared" si="253"/>
        <v>0</v>
      </c>
      <c r="JM789" s="1824">
        <f t="shared" si="254"/>
        <v>0</v>
      </c>
      <c r="JN789" s="1824">
        <f t="shared" si="255"/>
        <v>0</v>
      </c>
      <c r="JO789" s="1824">
        <f t="shared" si="256"/>
        <v>0</v>
      </c>
      <c r="JP789" s="1824">
        <f t="shared" si="257"/>
        <v>0</v>
      </c>
      <c r="JQ789" s="1824">
        <f t="shared" si="258"/>
        <v>0</v>
      </c>
    </row>
    <row r="790" spans="1:277" ht="12" customHeight="1">
      <c r="A790" s="1837" t="str">
        <f t="shared" si="1"/>
        <v/>
      </c>
      <c r="B790" s="1846" t="str">
        <f>'Part VI-Revenues &amp; Expenses'!B33</f>
        <v>&lt;&lt;Select&gt;&gt;</v>
      </c>
      <c r="C790" s="1847">
        <f>'Part VI-Revenues &amp; Expenses'!C33</f>
        <v>0</v>
      </c>
      <c r="D790" s="1848">
        <f>'Part VI-Revenues &amp; Expenses'!D33</f>
        <v>0</v>
      </c>
      <c r="E790" s="1849">
        <f>'Part VI-Revenues &amp; Expenses'!E33</f>
        <v>0</v>
      </c>
      <c r="F790" s="1849">
        <f>'Part VI-Revenues &amp; Expenses'!F33</f>
        <v>0</v>
      </c>
      <c r="G790" s="1849">
        <f>'Part VI-Revenues &amp; Expenses'!G33</f>
        <v>0</v>
      </c>
      <c r="H790" s="1849">
        <f>'Part VI-Revenues &amp; Expenses'!H33</f>
        <v>0</v>
      </c>
      <c r="I790" s="1849">
        <f>'Part VI-Revenues &amp; Expenses'!I33</f>
        <v>0</v>
      </c>
      <c r="J790" s="1850">
        <f>'Part VI-Revenues &amp; Expenses'!J33</f>
        <v>0</v>
      </c>
      <c r="K790" s="1851">
        <f t="shared" si="2"/>
        <v>0</v>
      </c>
      <c r="L790" s="1851">
        <f t="shared" si="3"/>
        <v>0</v>
      </c>
      <c r="M790" s="1725">
        <f>'Part VI-Revenues &amp; Expenses'!M33</f>
        <v>0</v>
      </c>
      <c r="N790" s="1725">
        <f>'Part VI-Revenues &amp; Expenses'!N33</f>
        <v>0</v>
      </c>
      <c r="O790" s="1725">
        <f>'Part VI-Revenues &amp; Expenses'!O33</f>
        <v>0</v>
      </c>
      <c r="P790" s="1831">
        <f>'Part VI-Revenues &amp; Expenses'!P33</f>
        <v>0</v>
      </c>
      <c r="Q790" s="1852" t="str">
        <f>'Part VI-Revenues &amp; Expenses'!Q33</f>
        <v/>
      </c>
      <c r="R790" s="1853" t="str">
        <f>'Part VI-Revenues &amp; Expenses'!R33</f>
        <v/>
      </c>
      <c r="S790" s="1852">
        <f>'Part VI-Revenues &amp; Expenses'!S33</f>
        <v>0</v>
      </c>
      <c r="T790" s="1853">
        <f>'Part VI-Revenues &amp; Expenses'!T33</f>
        <v>0</v>
      </c>
      <c r="U790" s="1775"/>
      <c r="V790" s="1775"/>
      <c r="W790" s="683" t="str">
        <f t="shared" si="4"/>
        <v/>
      </c>
      <c r="X790" s="683" t="str">
        <f t="shared" si="5"/>
        <v/>
      </c>
      <c r="Y790" s="683" t="str">
        <f t="shared" si="6"/>
        <v/>
      </c>
      <c r="Z790" s="683" t="str">
        <f t="shared" si="7"/>
        <v/>
      </c>
      <c r="AA790" s="683" t="str">
        <f t="shared" si="8"/>
        <v/>
      </c>
      <c r="AB790" s="683" t="str">
        <f t="shared" si="9"/>
        <v/>
      </c>
      <c r="AC790" s="683" t="str">
        <f t="shared" si="10"/>
        <v/>
      </c>
      <c r="AD790" s="683" t="str">
        <f t="shared" si="11"/>
        <v/>
      </c>
      <c r="AE790" s="683" t="str">
        <f t="shared" si="12"/>
        <v/>
      </c>
      <c r="AF790" s="683" t="str">
        <f t="shared" si="13"/>
        <v/>
      </c>
      <c r="AG790" s="683" t="str">
        <f t="shared" si="14"/>
        <v/>
      </c>
      <c r="AH790" s="683" t="str">
        <f t="shared" si="15"/>
        <v/>
      </c>
      <c r="AI790" s="683" t="str">
        <f t="shared" si="16"/>
        <v/>
      </c>
      <c r="AJ790" s="683" t="str">
        <f t="shared" si="17"/>
        <v/>
      </c>
      <c r="AK790" s="683" t="str">
        <f t="shared" si="18"/>
        <v/>
      </c>
      <c r="AL790" s="683" t="str">
        <f t="shared" si="19"/>
        <v/>
      </c>
      <c r="AM790" s="683" t="str">
        <f t="shared" si="20"/>
        <v/>
      </c>
      <c r="AN790" s="683" t="str">
        <f t="shared" si="21"/>
        <v/>
      </c>
      <c r="AO790" s="683" t="str">
        <f t="shared" si="22"/>
        <v/>
      </c>
      <c r="AP790" s="683" t="str">
        <f t="shared" si="23"/>
        <v/>
      </c>
      <c r="AQ790" s="683" t="str">
        <f t="shared" si="24"/>
        <v/>
      </c>
      <c r="AR790" s="683" t="str">
        <f t="shared" si="25"/>
        <v/>
      </c>
      <c r="AS790" s="683" t="str">
        <f t="shared" si="26"/>
        <v/>
      </c>
      <c r="AT790" s="683" t="str">
        <f t="shared" si="27"/>
        <v/>
      </c>
      <c r="AU790" s="683" t="str">
        <f t="shared" si="28"/>
        <v/>
      </c>
      <c r="AV790" s="683" t="str">
        <f t="shared" si="29"/>
        <v/>
      </c>
      <c r="AW790" s="683" t="str">
        <f t="shared" si="30"/>
        <v/>
      </c>
      <c r="AX790" s="683" t="str">
        <f t="shared" si="31"/>
        <v/>
      </c>
      <c r="AY790" s="683" t="str">
        <f t="shared" si="32"/>
        <v/>
      </c>
      <c r="AZ790" s="683" t="str">
        <f t="shared" si="33"/>
        <v/>
      </c>
      <c r="BA790" s="683" t="str">
        <f t="shared" si="34"/>
        <v/>
      </c>
      <c r="BB790" s="683" t="str">
        <f t="shared" si="35"/>
        <v/>
      </c>
      <c r="BC790" s="683" t="str">
        <f t="shared" si="36"/>
        <v/>
      </c>
      <c r="BD790" s="683" t="str">
        <f t="shared" si="37"/>
        <v/>
      </c>
      <c r="BE790" s="683" t="str">
        <f t="shared" si="38"/>
        <v/>
      </c>
      <c r="BF790" s="683" t="str">
        <f t="shared" si="39"/>
        <v/>
      </c>
      <c r="BG790" s="683" t="str">
        <f t="shared" si="40"/>
        <v/>
      </c>
      <c r="BH790" s="683" t="str">
        <f t="shared" si="41"/>
        <v/>
      </c>
      <c r="BI790" s="683" t="str">
        <f t="shared" si="42"/>
        <v/>
      </c>
      <c r="BJ790" s="683" t="str">
        <f t="shared" si="43"/>
        <v/>
      </c>
      <c r="BK790" s="683" t="str">
        <f t="shared" si="44"/>
        <v/>
      </c>
      <c r="BL790" s="683" t="str">
        <f t="shared" si="45"/>
        <v/>
      </c>
      <c r="BM790" s="683" t="str">
        <f t="shared" si="46"/>
        <v/>
      </c>
      <c r="BN790" s="683" t="str">
        <f t="shared" si="47"/>
        <v/>
      </c>
      <c r="BO790" s="683" t="str">
        <f t="shared" si="48"/>
        <v/>
      </c>
      <c r="BP790" s="683" t="str">
        <f t="shared" si="49"/>
        <v/>
      </c>
      <c r="BQ790" s="683" t="str">
        <f t="shared" si="50"/>
        <v/>
      </c>
      <c r="BR790" s="683" t="str">
        <f t="shared" si="51"/>
        <v/>
      </c>
      <c r="BS790" s="683" t="str">
        <f t="shared" si="52"/>
        <v/>
      </c>
      <c r="BT790" s="683" t="str">
        <f t="shared" si="53"/>
        <v/>
      </c>
      <c r="BU790" s="683" t="str">
        <f t="shared" si="54"/>
        <v/>
      </c>
      <c r="BV790" s="683" t="str">
        <f t="shared" si="55"/>
        <v/>
      </c>
      <c r="BW790" s="683" t="str">
        <f t="shared" si="56"/>
        <v/>
      </c>
      <c r="BX790" s="683" t="str">
        <f t="shared" si="57"/>
        <v/>
      </c>
      <c r="BY790" s="683" t="str">
        <f t="shared" si="58"/>
        <v/>
      </c>
      <c r="BZ790" s="683" t="str">
        <f t="shared" si="59"/>
        <v/>
      </c>
      <c r="CA790" s="683" t="str">
        <f t="shared" si="60"/>
        <v/>
      </c>
      <c r="CB790" s="683" t="str">
        <f t="shared" si="61"/>
        <v/>
      </c>
      <c r="CC790" s="683" t="str">
        <f t="shared" si="62"/>
        <v/>
      </c>
      <c r="CD790" s="683" t="str">
        <f t="shared" si="63"/>
        <v/>
      </c>
      <c r="CE790" s="683" t="str">
        <f t="shared" si="64"/>
        <v/>
      </c>
      <c r="CF790" s="683" t="str">
        <f t="shared" si="65"/>
        <v/>
      </c>
      <c r="CG790" s="683" t="str">
        <f t="shared" si="66"/>
        <v/>
      </c>
      <c r="CH790" s="683" t="str">
        <f t="shared" si="67"/>
        <v/>
      </c>
      <c r="CI790" s="683" t="str">
        <f t="shared" si="68"/>
        <v/>
      </c>
      <c r="CJ790" s="683" t="str">
        <f t="shared" si="69"/>
        <v/>
      </c>
      <c r="CK790" s="683" t="str">
        <f t="shared" si="70"/>
        <v/>
      </c>
      <c r="CL790" s="683" t="str">
        <f t="shared" si="71"/>
        <v/>
      </c>
      <c r="CM790" s="683" t="str">
        <f t="shared" si="72"/>
        <v/>
      </c>
      <c r="CN790" s="683" t="str">
        <f t="shared" si="73"/>
        <v/>
      </c>
      <c r="CO790" s="683" t="str">
        <f t="shared" si="74"/>
        <v/>
      </c>
      <c r="CP790" s="683" t="str">
        <f t="shared" si="75"/>
        <v/>
      </c>
      <c r="CQ790" s="683" t="str">
        <f t="shared" si="76"/>
        <v/>
      </c>
      <c r="CR790" s="683" t="str">
        <f t="shared" si="77"/>
        <v/>
      </c>
      <c r="CS790" s="683" t="str">
        <f t="shared" si="78"/>
        <v/>
      </c>
      <c r="CT790" s="683" t="str">
        <f t="shared" si="79"/>
        <v/>
      </c>
      <c r="CU790" s="683" t="str">
        <f t="shared" si="80"/>
        <v/>
      </c>
      <c r="CV790" s="683" t="str">
        <f t="shared" si="81"/>
        <v/>
      </c>
      <c r="CW790" s="683" t="str">
        <f t="shared" si="82"/>
        <v/>
      </c>
      <c r="CX790" s="683" t="str">
        <f t="shared" si="83"/>
        <v/>
      </c>
      <c r="CY790" s="683" t="str">
        <f t="shared" si="84"/>
        <v/>
      </c>
      <c r="CZ790" s="683" t="str">
        <f t="shared" si="85"/>
        <v/>
      </c>
      <c r="DA790" s="683" t="str">
        <f t="shared" si="86"/>
        <v/>
      </c>
      <c r="DB790" s="683" t="str">
        <f t="shared" si="87"/>
        <v/>
      </c>
      <c r="DC790" s="683" t="str">
        <f t="shared" si="88"/>
        <v/>
      </c>
      <c r="DD790" s="683" t="str">
        <f t="shared" si="89"/>
        <v/>
      </c>
      <c r="DE790" s="683" t="str">
        <f t="shared" si="90"/>
        <v/>
      </c>
      <c r="DF790" s="683" t="str">
        <f t="shared" si="91"/>
        <v/>
      </c>
      <c r="DG790" s="683" t="str">
        <f t="shared" si="92"/>
        <v/>
      </c>
      <c r="DH790" s="683" t="str">
        <f t="shared" si="93"/>
        <v/>
      </c>
      <c r="DI790" s="683" t="str">
        <f t="shared" si="94"/>
        <v/>
      </c>
      <c r="DJ790" s="683" t="str">
        <f t="shared" si="95"/>
        <v/>
      </c>
      <c r="DK790" s="683" t="str">
        <f t="shared" si="96"/>
        <v/>
      </c>
      <c r="DL790" s="683" t="str">
        <f t="shared" si="97"/>
        <v/>
      </c>
      <c r="DM790" s="683" t="str">
        <f t="shared" si="98"/>
        <v/>
      </c>
      <c r="DN790" s="683" t="str">
        <f t="shared" si="99"/>
        <v/>
      </c>
      <c r="DO790" s="683" t="str">
        <f t="shared" si="100"/>
        <v/>
      </c>
      <c r="DP790" s="683" t="str">
        <f t="shared" si="101"/>
        <v/>
      </c>
      <c r="DQ790" s="683" t="str">
        <f t="shared" si="102"/>
        <v/>
      </c>
      <c r="DR790" s="683" t="str">
        <f t="shared" si="103"/>
        <v/>
      </c>
      <c r="DS790" s="683" t="str">
        <f t="shared" si="104"/>
        <v/>
      </c>
      <c r="DT790" s="683" t="str">
        <f t="shared" si="105"/>
        <v/>
      </c>
      <c r="DU790" s="683" t="str">
        <f t="shared" si="106"/>
        <v/>
      </c>
      <c r="DV790" s="683" t="str">
        <f t="shared" si="107"/>
        <v/>
      </c>
      <c r="DW790" s="683" t="str">
        <f t="shared" si="108"/>
        <v/>
      </c>
      <c r="DX790" s="683" t="str">
        <f t="shared" si="109"/>
        <v/>
      </c>
      <c r="DY790" s="683" t="str">
        <f t="shared" si="110"/>
        <v/>
      </c>
      <c r="DZ790" s="683" t="str">
        <f t="shared" si="111"/>
        <v/>
      </c>
      <c r="EA790" s="683" t="str">
        <f t="shared" si="112"/>
        <v/>
      </c>
      <c r="EB790" s="683" t="str">
        <f t="shared" si="113"/>
        <v/>
      </c>
      <c r="EC790" s="683" t="str">
        <f t="shared" si="114"/>
        <v/>
      </c>
      <c r="ED790" s="683" t="str">
        <f t="shared" si="115"/>
        <v/>
      </c>
      <c r="EE790" s="683" t="str">
        <f t="shared" si="116"/>
        <v/>
      </c>
      <c r="EF790" s="683" t="str">
        <f t="shared" si="117"/>
        <v/>
      </c>
      <c r="EG790" s="683" t="str">
        <f t="shared" si="118"/>
        <v/>
      </c>
      <c r="EH790" s="683" t="str">
        <f t="shared" si="119"/>
        <v/>
      </c>
      <c r="EI790" s="683" t="str">
        <f t="shared" si="120"/>
        <v/>
      </c>
      <c r="EJ790" s="683" t="str">
        <f t="shared" si="121"/>
        <v/>
      </c>
      <c r="EK790" s="683" t="str">
        <f t="shared" si="122"/>
        <v/>
      </c>
      <c r="EL790" s="683" t="str">
        <f t="shared" si="123"/>
        <v/>
      </c>
      <c r="EM790" s="683" t="str">
        <f t="shared" si="124"/>
        <v/>
      </c>
      <c r="EN790" s="683" t="str">
        <f t="shared" si="125"/>
        <v/>
      </c>
      <c r="EO790" s="683" t="str">
        <f t="shared" si="126"/>
        <v/>
      </c>
      <c r="EP790" s="683" t="str">
        <f t="shared" si="127"/>
        <v/>
      </c>
      <c r="EQ790" s="683" t="str">
        <f t="shared" si="128"/>
        <v/>
      </c>
      <c r="ER790" s="683" t="str">
        <f t="shared" si="129"/>
        <v/>
      </c>
      <c r="ES790" s="683" t="str">
        <f t="shared" si="130"/>
        <v/>
      </c>
      <c r="ET790" s="683" t="str">
        <f t="shared" si="131"/>
        <v/>
      </c>
      <c r="EU790" s="683" t="str">
        <f t="shared" si="132"/>
        <v/>
      </c>
      <c r="EV790" s="683" t="str">
        <f t="shared" si="133"/>
        <v/>
      </c>
      <c r="EW790" s="1854" t="str">
        <f t="shared" si="134"/>
        <v/>
      </c>
      <c r="EX790" s="1854" t="str">
        <f t="shared" si="135"/>
        <v/>
      </c>
      <c r="EY790" s="1854" t="str">
        <f t="shared" si="136"/>
        <v/>
      </c>
      <c r="EZ790" s="1854" t="str">
        <f t="shared" si="137"/>
        <v/>
      </c>
      <c r="FA790" s="1854" t="str">
        <f t="shared" si="138"/>
        <v/>
      </c>
      <c r="FB790" s="1854" t="str">
        <f t="shared" si="139"/>
        <v/>
      </c>
      <c r="FC790" s="1854" t="str">
        <f t="shared" si="140"/>
        <v/>
      </c>
      <c r="FD790" s="1854" t="str">
        <f t="shared" si="141"/>
        <v/>
      </c>
      <c r="FE790" s="1854" t="str">
        <f t="shared" si="142"/>
        <v/>
      </c>
      <c r="FF790" s="1854" t="str">
        <f t="shared" si="143"/>
        <v/>
      </c>
      <c r="FG790" s="1854" t="str">
        <f t="shared" si="144"/>
        <v/>
      </c>
      <c r="FH790" s="1854" t="str">
        <f t="shared" si="145"/>
        <v/>
      </c>
      <c r="FI790" s="1854" t="str">
        <f t="shared" si="146"/>
        <v/>
      </c>
      <c r="FJ790" s="1854" t="str">
        <f t="shared" si="147"/>
        <v/>
      </c>
      <c r="FK790" s="1854" t="str">
        <f t="shared" si="148"/>
        <v/>
      </c>
      <c r="FL790" s="1854" t="str">
        <f t="shared" si="149"/>
        <v/>
      </c>
      <c r="FM790" s="1854" t="str">
        <f t="shared" si="150"/>
        <v/>
      </c>
      <c r="FN790" s="1854" t="str">
        <f t="shared" si="151"/>
        <v/>
      </c>
      <c r="FO790" s="1854" t="str">
        <f t="shared" si="152"/>
        <v/>
      </c>
      <c r="FP790" s="1854" t="str">
        <f t="shared" si="153"/>
        <v/>
      </c>
      <c r="FQ790" s="1854" t="str">
        <f t="shared" si="154"/>
        <v/>
      </c>
      <c r="FR790" s="1854" t="str">
        <f t="shared" si="155"/>
        <v/>
      </c>
      <c r="FS790" s="1854" t="str">
        <f t="shared" si="156"/>
        <v/>
      </c>
      <c r="FT790" s="1854" t="str">
        <f t="shared" si="157"/>
        <v/>
      </c>
      <c r="FU790" s="1854" t="str">
        <f t="shared" si="158"/>
        <v/>
      </c>
      <c r="FV790" s="1854" t="str">
        <f t="shared" si="159"/>
        <v/>
      </c>
      <c r="FW790" s="1854" t="str">
        <f t="shared" si="160"/>
        <v/>
      </c>
      <c r="FX790" s="1854" t="str">
        <f t="shared" si="161"/>
        <v/>
      </c>
      <c r="FY790" s="1854" t="str">
        <f t="shared" si="162"/>
        <v/>
      </c>
      <c r="FZ790" s="1854" t="str">
        <f t="shared" si="163"/>
        <v/>
      </c>
      <c r="GA790" s="1854" t="str">
        <f t="shared" si="164"/>
        <v/>
      </c>
      <c r="GB790" s="1854" t="str">
        <f t="shared" si="165"/>
        <v/>
      </c>
      <c r="GC790" s="1854" t="str">
        <f t="shared" si="166"/>
        <v/>
      </c>
      <c r="GD790" s="1854" t="str">
        <f t="shared" si="167"/>
        <v/>
      </c>
      <c r="GE790" s="1854" t="str">
        <f t="shared" si="168"/>
        <v/>
      </c>
      <c r="GF790" s="1854" t="str">
        <f t="shared" si="169"/>
        <v/>
      </c>
      <c r="GG790" s="1854" t="str">
        <f t="shared" si="170"/>
        <v/>
      </c>
      <c r="GH790" s="1854" t="str">
        <f t="shared" si="171"/>
        <v/>
      </c>
      <c r="GI790" s="1854" t="str">
        <f t="shared" si="172"/>
        <v/>
      </c>
      <c r="GJ790" s="1854" t="str">
        <f t="shared" si="173"/>
        <v/>
      </c>
      <c r="GK790" s="1854" t="str">
        <f t="shared" si="174"/>
        <v/>
      </c>
      <c r="GL790" s="1854" t="str">
        <f t="shared" si="175"/>
        <v/>
      </c>
      <c r="GM790" s="1854" t="str">
        <f t="shared" si="176"/>
        <v/>
      </c>
      <c r="GN790" s="1854" t="str">
        <f t="shared" si="177"/>
        <v/>
      </c>
      <c r="GO790" s="1854" t="str">
        <f t="shared" si="178"/>
        <v/>
      </c>
      <c r="GP790" s="1854" t="str">
        <f t="shared" si="179"/>
        <v/>
      </c>
      <c r="GQ790" s="1854" t="str">
        <f t="shared" si="180"/>
        <v/>
      </c>
      <c r="GR790" s="1854" t="str">
        <f t="shared" si="181"/>
        <v/>
      </c>
      <c r="GS790" s="1854" t="str">
        <f t="shared" si="182"/>
        <v/>
      </c>
      <c r="GT790" s="1854" t="str">
        <f t="shared" si="183"/>
        <v/>
      </c>
      <c r="GU790" s="1854" t="str">
        <f t="shared" si="184"/>
        <v/>
      </c>
      <c r="GV790" s="1854" t="str">
        <f t="shared" si="185"/>
        <v/>
      </c>
      <c r="GW790" s="1854" t="str">
        <f t="shared" si="186"/>
        <v/>
      </c>
      <c r="GX790" s="1854" t="str">
        <f t="shared" si="187"/>
        <v/>
      </c>
      <c r="GY790" s="1854" t="str">
        <f t="shared" si="188"/>
        <v/>
      </c>
      <c r="GZ790" s="1854" t="str">
        <f t="shared" si="189"/>
        <v/>
      </c>
      <c r="HA790" s="1854" t="str">
        <f t="shared" si="190"/>
        <v/>
      </c>
      <c r="HB790" s="1854" t="str">
        <f t="shared" si="191"/>
        <v/>
      </c>
      <c r="HC790" s="1854" t="str">
        <f t="shared" si="192"/>
        <v/>
      </c>
      <c r="HD790" s="1854" t="str">
        <f t="shared" si="193"/>
        <v/>
      </c>
      <c r="HE790" s="1854" t="str">
        <f t="shared" si="194"/>
        <v/>
      </c>
      <c r="HF790" s="1854" t="str">
        <f t="shared" si="195"/>
        <v/>
      </c>
      <c r="HG790" s="1854" t="str">
        <f t="shared" si="196"/>
        <v/>
      </c>
      <c r="HH790" s="1854" t="str">
        <f t="shared" si="197"/>
        <v/>
      </c>
      <c r="HI790" s="1854" t="str">
        <f t="shared" si="198"/>
        <v/>
      </c>
      <c r="HJ790" s="1854" t="str">
        <f t="shared" si="199"/>
        <v/>
      </c>
      <c r="HK790" s="1854" t="str">
        <f t="shared" si="200"/>
        <v/>
      </c>
      <c r="HL790" s="1854" t="str">
        <f t="shared" si="201"/>
        <v/>
      </c>
      <c r="HM790" s="1854" t="str">
        <f t="shared" si="202"/>
        <v/>
      </c>
      <c r="HN790" s="1854" t="str">
        <f t="shared" si="203"/>
        <v/>
      </c>
      <c r="HO790" s="1854" t="str">
        <f t="shared" si="204"/>
        <v/>
      </c>
      <c r="HP790" s="1854" t="str">
        <f t="shared" si="205"/>
        <v/>
      </c>
      <c r="HQ790" s="1854" t="str">
        <f t="shared" si="206"/>
        <v/>
      </c>
      <c r="HR790" s="1854" t="str">
        <f t="shared" si="207"/>
        <v/>
      </c>
      <c r="HS790" s="1854" t="str">
        <f t="shared" si="208"/>
        <v/>
      </c>
      <c r="HT790" s="1854" t="str">
        <f t="shared" si="209"/>
        <v/>
      </c>
      <c r="HU790" s="1854" t="str">
        <f t="shared" si="210"/>
        <v/>
      </c>
      <c r="HV790" s="1854" t="str">
        <f t="shared" si="211"/>
        <v/>
      </c>
      <c r="HW790" s="1854" t="str">
        <f t="shared" si="212"/>
        <v/>
      </c>
      <c r="HX790" s="1854" t="str">
        <f t="shared" si="213"/>
        <v/>
      </c>
      <c r="HY790" s="1854" t="str">
        <f t="shared" si="214"/>
        <v/>
      </c>
      <c r="HZ790" s="1854" t="str">
        <f t="shared" si="215"/>
        <v/>
      </c>
      <c r="IA790" s="1854" t="str">
        <f t="shared" si="216"/>
        <v/>
      </c>
      <c r="IB790" s="1854" t="str">
        <f t="shared" si="217"/>
        <v/>
      </c>
      <c r="IC790" s="1854" t="str">
        <f t="shared" si="218"/>
        <v/>
      </c>
      <c r="ID790" s="1826" t="str">
        <f t="shared" si="219"/>
        <v/>
      </c>
      <c r="IE790" s="1826" t="str">
        <f t="shared" si="220"/>
        <v/>
      </c>
      <c r="IF790" s="1826" t="str">
        <f t="shared" si="221"/>
        <v/>
      </c>
      <c r="IG790" s="1826" t="str">
        <f t="shared" si="222"/>
        <v/>
      </c>
      <c r="IH790" s="1826" t="str">
        <f t="shared" si="223"/>
        <v/>
      </c>
      <c r="II790" s="683" t="str">
        <f t="shared" si="224"/>
        <v/>
      </c>
      <c r="IJ790" s="683" t="str">
        <f t="shared" si="225"/>
        <v/>
      </c>
      <c r="IK790" s="683" t="str">
        <f t="shared" si="226"/>
        <v/>
      </c>
      <c r="IL790" s="683" t="str">
        <f t="shared" si="227"/>
        <v/>
      </c>
      <c r="IM790" s="683" t="str">
        <f t="shared" si="228"/>
        <v/>
      </c>
      <c r="IN790" s="683" t="str">
        <f t="shared" si="229"/>
        <v/>
      </c>
      <c r="IO790" s="683" t="str">
        <f t="shared" si="230"/>
        <v/>
      </c>
      <c r="IP790" s="683" t="str">
        <f t="shared" si="231"/>
        <v/>
      </c>
      <c r="IQ790" s="683" t="str">
        <f t="shared" si="232"/>
        <v/>
      </c>
      <c r="IR790" s="683" t="str">
        <f t="shared" si="233"/>
        <v/>
      </c>
      <c r="IS790" s="683" t="str">
        <f t="shared" si="234"/>
        <v/>
      </c>
      <c r="IT790" s="683" t="str">
        <f t="shared" si="235"/>
        <v/>
      </c>
      <c r="IU790" s="683" t="str">
        <f t="shared" si="236"/>
        <v/>
      </c>
      <c r="IV790" s="683" t="str">
        <f t="shared" si="237"/>
        <v/>
      </c>
      <c r="IW790" s="683" t="str">
        <f t="shared" si="238"/>
        <v/>
      </c>
      <c r="IX790" s="683" t="str">
        <f t="shared" si="239"/>
        <v/>
      </c>
      <c r="IY790" s="683" t="str">
        <f t="shared" si="240"/>
        <v/>
      </c>
      <c r="IZ790" s="683" t="str">
        <f t="shared" si="241"/>
        <v/>
      </c>
      <c r="JA790" s="683" t="str">
        <f t="shared" si="242"/>
        <v/>
      </c>
      <c r="JB790" s="683" t="str">
        <f t="shared" si="243"/>
        <v/>
      </c>
      <c r="JC790" s="1824">
        <f t="shared" si="244"/>
        <v>0</v>
      </c>
      <c r="JD790" s="1824">
        <f t="shared" si="245"/>
        <v>0</v>
      </c>
      <c r="JE790" s="1824">
        <f t="shared" si="246"/>
        <v>0</v>
      </c>
      <c r="JF790" s="1824">
        <f t="shared" si="247"/>
        <v>0</v>
      </c>
      <c r="JG790" s="1824">
        <f t="shared" si="248"/>
        <v>0</v>
      </c>
      <c r="JH790" s="1824">
        <f t="shared" si="249"/>
        <v>0</v>
      </c>
      <c r="JI790" s="1824">
        <f t="shared" si="250"/>
        <v>0</v>
      </c>
      <c r="JJ790" s="1824">
        <f t="shared" si="251"/>
        <v>0</v>
      </c>
      <c r="JK790" s="1824">
        <f t="shared" si="252"/>
        <v>0</v>
      </c>
      <c r="JL790" s="1824">
        <f t="shared" si="253"/>
        <v>0</v>
      </c>
      <c r="JM790" s="1824">
        <f t="shared" si="254"/>
        <v>0</v>
      </c>
      <c r="JN790" s="1824">
        <f t="shared" si="255"/>
        <v>0</v>
      </c>
      <c r="JO790" s="1824">
        <f t="shared" si="256"/>
        <v>0</v>
      </c>
      <c r="JP790" s="1824">
        <f t="shared" si="257"/>
        <v>0</v>
      </c>
      <c r="JQ790" s="1824">
        <f t="shared" si="258"/>
        <v>0</v>
      </c>
    </row>
    <row r="791" spans="1:277" ht="12" customHeight="1">
      <c r="A791" s="1837" t="str">
        <f t="shared" si="1"/>
        <v/>
      </c>
      <c r="B791" s="1846" t="str">
        <f>'Part VI-Revenues &amp; Expenses'!B34</f>
        <v>&lt;&lt;Select&gt;&gt;</v>
      </c>
      <c r="C791" s="1847">
        <f>'Part VI-Revenues &amp; Expenses'!C34</f>
        <v>0</v>
      </c>
      <c r="D791" s="1848">
        <f>'Part VI-Revenues &amp; Expenses'!D34</f>
        <v>0</v>
      </c>
      <c r="E791" s="1849">
        <f>'Part VI-Revenues &amp; Expenses'!E34</f>
        <v>0</v>
      </c>
      <c r="F791" s="1849">
        <f>'Part VI-Revenues &amp; Expenses'!F34</f>
        <v>0</v>
      </c>
      <c r="G791" s="1849">
        <f>'Part VI-Revenues &amp; Expenses'!G34</f>
        <v>0</v>
      </c>
      <c r="H791" s="1849">
        <f>'Part VI-Revenues &amp; Expenses'!H34</f>
        <v>0</v>
      </c>
      <c r="I791" s="1849">
        <f>'Part VI-Revenues &amp; Expenses'!I34</f>
        <v>0</v>
      </c>
      <c r="J791" s="1850">
        <f>'Part VI-Revenues &amp; Expenses'!J34</f>
        <v>0</v>
      </c>
      <c r="K791" s="1851">
        <f t="shared" si="2"/>
        <v>0</v>
      </c>
      <c r="L791" s="1851">
        <f t="shared" si="3"/>
        <v>0</v>
      </c>
      <c r="M791" s="1725">
        <f>'Part VI-Revenues &amp; Expenses'!M34</f>
        <v>0</v>
      </c>
      <c r="N791" s="1725">
        <f>'Part VI-Revenues &amp; Expenses'!N34</f>
        <v>0</v>
      </c>
      <c r="O791" s="1725">
        <f>'Part VI-Revenues &amp; Expenses'!O34</f>
        <v>0</v>
      </c>
      <c r="P791" s="1831">
        <f>'Part VI-Revenues &amp; Expenses'!P34</f>
        <v>0</v>
      </c>
      <c r="Q791" s="1852" t="str">
        <f>'Part VI-Revenues &amp; Expenses'!Q34</f>
        <v/>
      </c>
      <c r="R791" s="1853" t="str">
        <f>'Part VI-Revenues &amp; Expenses'!R34</f>
        <v/>
      </c>
      <c r="S791" s="1852">
        <f>'Part VI-Revenues &amp; Expenses'!S34</f>
        <v>0</v>
      </c>
      <c r="T791" s="1853">
        <f>'Part VI-Revenues &amp; Expenses'!T34</f>
        <v>0</v>
      </c>
      <c r="U791" s="1775"/>
      <c r="V791" s="1775"/>
      <c r="W791" s="683" t="str">
        <f t="shared" si="4"/>
        <v/>
      </c>
      <c r="X791" s="683" t="str">
        <f t="shared" si="5"/>
        <v/>
      </c>
      <c r="Y791" s="683" t="str">
        <f t="shared" si="6"/>
        <v/>
      </c>
      <c r="Z791" s="683" t="str">
        <f t="shared" si="7"/>
        <v/>
      </c>
      <c r="AA791" s="683" t="str">
        <f t="shared" si="8"/>
        <v/>
      </c>
      <c r="AB791" s="683" t="str">
        <f t="shared" si="9"/>
        <v/>
      </c>
      <c r="AC791" s="683" t="str">
        <f t="shared" si="10"/>
        <v/>
      </c>
      <c r="AD791" s="683" t="str">
        <f t="shared" si="11"/>
        <v/>
      </c>
      <c r="AE791" s="683" t="str">
        <f t="shared" si="12"/>
        <v/>
      </c>
      <c r="AF791" s="683" t="str">
        <f t="shared" si="13"/>
        <v/>
      </c>
      <c r="AG791" s="683" t="str">
        <f t="shared" si="14"/>
        <v/>
      </c>
      <c r="AH791" s="683" t="str">
        <f t="shared" si="15"/>
        <v/>
      </c>
      <c r="AI791" s="683" t="str">
        <f t="shared" si="16"/>
        <v/>
      </c>
      <c r="AJ791" s="683" t="str">
        <f t="shared" si="17"/>
        <v/>
      </c>
      <c r="AK791" s="683" t="str">
        <f t="shared" si="18"/>
        <v/>
      </c>
      <c r="AL791" s="683" t="str">
        <f t="shared" si="19"/>
        <v/>
      </c>
      <c r="AM791" s="683" t="str">
        <f t="shared" si="20"/>
        <v/>
      </c>
      <c r="AN791" s="683" t="str">
        <f t="shared" si="21"/>
        <v/>
      </c>
      <c r="AO791" s="683" t="str">
        <f t="shared" si="22"/>
        <v/>
      </c>
      <c r="AP791" s="683" t="str">
        <f t="shared" si="23"/>
        <v/>
      </c>
      <c r="AQ791" s="683" t="str">
        <f t="shared" si="24"/>
        <v/>
      </c>
      <c r="AR791" s="683" t="str">
        <f t="shared" si="25"/>
        <v/>
      </c>
      <c r="AS791" s="683" t="str">
        <f t="shared" si="26"/>
        <v/>
      </c>
      <c r="AT791" s="683" t="str">
        <f t="shared" si="27"/>
        <v/>
      </c>
      <c r="AU791" s="683" t="str">
        <f t="shared" si="28"/>
        <v/>
      </c>
      <c r="AV791" s="683" t="str">
        <f t="shared" si="29"/>
        <v/>
      </c>
      <c r="AW791" s="683" t="str">
        <f t="shared" si="30"/>
        <v/>
      </c>
      <c r="AX791" s="683" t="str">
        <f t="shared" si="31"/>
        <v/>
      </c>
      <c r="AY791" s="683" t="str">
        <f t="shared" si="32"/>
        <v/>
      </c>
      <c r="AZ791" s="683" t="str">
        <f t="shared" si="33"/>
        <v/>
      </c>
      <c r="BA791" s="683" t="str">
        <f t="shared" si="34"/>
        <v/>
      </c>
      <c r="BB791" s="683" t="str">
        <f t="shared" si="35"/>
        <v/>
      </c>
      <c r="BC791" s="683" t="str">
        <f t="shared" si="36"/>
        <v/>
      </c>
      <c r="BD791" s="683" t="str">
        <f t="shared" si="37"/>
        <v/>
      </c>
      <c r="BE791" s="683" t="str">
        <f t="shared" si="38"/>
        <v/>
      </c>
      <c r="BF791" s="683" t="str">
        <f t="shared" si="39"/>
        <v/>
      </c>
      <c r="BG791" s="683" t="str">
        <f t="shared" si="40"/>
        <v/>
      </c>
      <c r="BH791" s="683" t="str">
        <f t="shared" si="41"/>
        <v/>
      </c>
      <c r="BI791" s="683" t="str">
        <f t="shared" si="42"/>
        <v/>
      </c>
      <c r="BJ791" s="683" t="str">
        <f t="shared" si="43"/>
        <v/>
      </c>
      <c r="BK791" s="683" t="str">
        <f t="shared" si="44"/>
        <v/>
      </c>
      <c r="BL791" s="683" t="str">
        <f t="shared" si="45"/>
        <v/>
      </c>
      <c r="BM791" s="683" t="str">
        <f t="shared" si="46"/>
        <v/>
      </c>
      <c r="BN791" s="683" t="str">
        <f t="shared" si="47"/>
        <v/>
      </c>
      <c r="BO791" s="683" t="str">
        <f t="shared" si="48"/>
        <v/>
      </c>
      <c r="BP791" s="683" t="str">
        <f t="shared" si="49"/>
        <v/>
      </c>
      <c r="BQ791" s="683" t="str">
        <f t="shared" si="50"/>
        <v/>
      </c>
      <c r="BR791" s="683" t="str">
        <f t="shared" si="51"/>
        <v/>
      </c>
      <c r="BS791" s="683" t="str">
        <f t="shared" si="52"/>
        <v/>
      </c>
      <c r="BT791" s="683" t="str">
        <f t="shared" si="53"/>
        <v/>
      </c>
      <c r="BU791" s="683" t="str">
        <f t="shared" si="54"/>
        <v/>
      </c>
      <c r="BV791" s="683" t="str">
        <f t="shared" si="55"/>
        <v/>
      </c>
      <c r="BW791" s="683" t="str">
        <f t="shared" si="56"/>
        <v/>
      </c>
      <c r="BX791" s="683" t="str">
        <f t="shared" si="57"/>
        <v/>
      </c>
      <c r="BY791" s="683" t="str">
        <f t="shared" si="58"/>
        <v/>
      </c>
      <c r="BZ791" s="683" t="str">
        <f t="shared" si="59"/>
        <v/>
      </c>
      <c r="CA791" s="683" t="str">
        <f t="shared" si="60"/>
        <v/>
      </c>
      <c r="CB791" s="683" t="str">
        <f t="shared" si="61"/>
        <v/>
      </c>
      <c r="CC791" s="683" t="str">
        <f t="shared" si="62"/>
        <v/>
      </c>
      <c r="CD791" s="683" t="str">
        <f t="shared" si="63"/>
        <v/>
      </c>
      <c r="CE791" s="683" t="str">
        <f t="shared" si="64"/>
        <v/>
      </c>
      <c r="CF791" s="683" t="str">
        <f t="shared" si="65"/>
        <v/>
      </c>
      <c r="CG791" s="683" t="str">
        <f t="shared" si="66"/>
        <v/>
      </c>
      <c r="CH791" s="683" t="str">
        <f t="shared" si="67"/>
        <v/>
      </c>
      <c r="CI791" s="683" t="str">
        <f t="shared" si="68"/>
        <v/>
      </c>
      <c r="CJ791" s="683" t="str">
        <f t="shared" si="69"/>
        <v/>
      </c>
      <c r="CK791" s="683" t="str">
        <f t="shared" si="70"/>
        <v/>
      </c>
      <c r="CL791" s="683" t="str">
        <f t="shared" si="71"/>
        <v/>
      </c>
      <c r="CM791" s="683" t="str">
        <f t="shared" si="72"/>
        <v/>
      </c>
      <c r="CN791" s="683" t="str">
        <f t="shared" si="73"/>
        <v/>
      </c>
      <c r="CO791" s="683" t="str">
        <f t="shared" si="74"/>
        <v/>
      </c>
      <c r="CP791" s="683" t="str">
        <f t="shared" si="75"/>
        <v/>
      </c>
      <c r="CQ791" s="683" t="str">
        <f t="shared" si="76"/>
        <v/>
      </c>
      <c r="CR791" s="683" t="str">
        <f t="shared" si="77"/>
        <v/>
      </c>
      <c r="CS791" s="683" t="str">
        <f t="shared" si="78"/>
        <v/>
      </c>
      <c r="CT791" s="683" t="str">
        <f t="shared" si="79"/>
        <v/>
      </c>
      <c r="CU791" s="683" t="str">
        <f t="shared" si="80"/>
        <v/>
      </c>
      <c r="CV791" s="683" t="str">
        <f t="shared" si="81"/>
        <v/>
      </c>
      <c r="CW791" s="683" t="str">
        <f t="shared" si="82"/>
        <v/>
      </c>
      <c r="CX791" s="683" t="str">
        <f t="shared" si="83"/>
        <v/>
      </c>
      <c r="CY791" s="683" t="str">
        <f t="shared" si="84"/>
        <v/>
      </c>
      <c r="CZ791" s="683" t="str">
        <f t="shared" si="85"/>
        <v/>
      </c>
      <c r="DA791" s="683" t="str">
        <f t="shared" si="86"/>
        <v/>
      </c>
      <c r="DB791" s="683" t="str">
        <f t="shared" si="87"/>
        <v/>
      </c>
      <c r="DC791" s="683" t="str">
        <f t="shared" si="88"/>
        <v/>
      </c>
      <c r="DD791" s="683" t="str">
        <f t="shared" si="89"/>
        <v/>
      </c>
      <c r="DE791" s="683" t="str">
        <f t="shared" si="90"/>
        <v/>
      </c>
      <c r="DF791" s="683" t="str">
        <f t="shared" si="91"/>
        <v/>
      </c>
      <c r="DG791" s="683" t="str">
        <f t="shared" si="92"/>
        <v/>
      </c>
      <c r="DH791" s="683" t="str">
        <f t="shared" si="93"/>
        <v/>
      </c>
      <c r="DI791" s="683" t="str">
        <f t="shared" si="94"/>
        <v/>
      </c>
      <c r="DJ791" s="683" t="str">
        <f t="shared" si="95"/>
        <v/>
      </c>
      <c r="DK791" s="683" t="str">
        <f t="shared" si="96"/>
        <v/>
      </c>
      <c r="DL791" s="683" t="str">
        <f t="shared" si="97"/>
        <v/>
      </c>
      <c r="DM791" s="683" t="str">
        <f t="shared" si="98"/>
        <v/>
      </c>
      <c r="DN791" s="683" t="str">
        <f t="shared" si="99"/>
        <v/>
      </c>
      <c r="DO791" s="683" t="str">
        <f t="shared" si="100"/>
        <v/>
      </c>
      <c r="DP791" s="683" t="str">
        <f t="shared" si="101"/>
        <v/>
      </c>
      <c r="DQ791" s="683" t="str">
        <f t="shared" si="102"/>
        <v/>
      </c>
      <c r="DR791" s="683" t="str">
        <f t="shared" si="103"/>
        <v/>
      </c>
      <c r="DS791" s="683" t="str">
        <f t="shared" si="104"/>
        <v/>
      </c>
      <c r="DT791" s="683" t="str">
        <f t="shared" si="105"/>
        <v/>
      </c>
      <c r="DU791" s="683" t="str">
        <f t="shared" si="106"/>
        <v/>
      </c>
      <c r="DV791" s="683" t="str">
        <f t="shared" si="107"/>
        <v/>
      </c>
      <c r="DW791" s="683" t="str">
        <f t="shared" si="108"/>
        <v/>
      </c>
      <c r="DX791" s="683" t="str">
        <f t="shared" si="109"/>
        <v/>
      </c>
      <c r="DY791" s="683" t="str">
        <f t="shared" si="110"/>
        <v/>
      </c>
      <c r="DZ791" s="683" t="str">
        <f t="shared" si="111"/>
        <v/>
      </c>
      <c r="EA791" s="683" t="str">
        <f t="shared" si="112"/>
        <v/>
      </c>
      <c r="EB791" s="683" t="str">
        <f t="shared" si="113"/>
        <v/>
      </c>
      <c r="EC791" s="683" t="str">
        <f t="shared" si="114"/>
        <v/>
      </c>
      <c r="ED791" s="683" t="str">
        <f t="shared" si="115"/>
        <v/>
      </c>
      <c r="EE791" s="683" t="str">
        <f t="shared" si="116"/>
        <v/>
      </c>
      <c r="EF791" s="683" t="str">
        <f t="shared" si="117"/>
        <v/>
      </c>
      <c r="EG791" s="683" t="str">
        <f t="shared" si="118"/>
        <v/>
      </c>
      <c r="EH791" s="683" t="str">
        <f t="shared" si="119"/>
        <v/>
      </c>
      <c r="EI791" s="683" t="str">
        <f t="shared" si="120"/>
        <v/>
      </c>
      <c r="EJ791" s="683" t="str">
        <f t="shared" si="121"/>
        <v/>
      </c>
      <c r="EK791" s="683" t="str">
        <f t="shared" si="122"/>
        <v/>
      </c>
      <c r="EL791" s="683" t="str">
        <f t="shared" si="123"/>
        <v/>
      </c>
      <c r="EM791" s="683" t="str">
        <f t="shared" si="124"/>
        <v/>
      </c>
      <c r="EN791" s="683" t="str">
        <f t="shared" si="125"/>
        <v/>
      </c>
      <c r="EO791" s="683" t="str">
        <f t="shared" si="126"/>
        <v/>
      </c>
      <c r="EP791" s="683" t="str">
        <f t="shared" si="127"/>
        <v/>
      </c>
      <c r="EQ791" s="683" t="str">
        <f t="shared" si="128"/>
        <v/>
      </c>
      <c r="ER791" s="683" t="str">
        <f t="shared" si="129"/>
        <v/>
      </c>
      <c r="ES791" s="683" t="str">
        <f t="shared" si="130"/>
        <v/>
      </c>
      <c r="ET791" s="683" t="str">
        <f t="shared" si="131"/>
        <v/>
      </c>
      <c r="EU791" s="683" t="str">
        <f t="shared" si="132"/>
        <v/>
      </c>
      <c r="EV791" s="683" t="str">
        <f t="shared" si="133"/>
        <v/>
      </c>
      <c r="EW791" s="1854" t="str">
        <f t="shared" si="134"/>
        <v/>
      </c>
      <c r="EX791" s="1854" t="str">
        <f t="shared" si="135"/>
        <v/>
      </c>
      <c r="EY791" s="1854" t="str">
        <f t="shared" si="136"/>
        <v/>
      </c>
      <c r="EZ791" s="1854" t="str">
        <f t="shared" si="137"/>
        <v/>
      </c>
      <c r="FA791" s="1854" t="str">
        <f t="shared" si="138"/>
        <v/>
      </c>
      <c r="FB791" s="1854" t="str">
        <f t="shared" si="139"/>
        <v/>
      </c>
      <c r="FC791" s="1854" t="str">
        <f t="shared" si="140"/>
        <v/>
      </c>
      <c r="FD791" s="1854" t="str">
        <f t="shared" si="141"/>
        <v/>
      </c>
      <c r="FE791" s="1854" t="str">
        <f t="shared" si="142"/>
        <v/>
      </c>
      <c r="FF791" s="1854" t="str">
        <f t="shared" si="143"/>
        <v/>
      </c>
      <c r="FG791" s="1854" t="str">
        <f t="shared" si="144"/>
        <v/>
      </c>
      <c r="FH791" s="1854" t="str">
        <f t="shared" si="145"/>
        <v/>
      </c>
      <c r="FI791" s="1854" t="str">
        <f t="shared" si="146"/>
        <v/>
      </c>
      <c r="FJ791" s="1854" t="str">
        <f t="shared" si="147"/>
        <v/>
      </c>
      <c r="FK791" s="1854" t="str">
        <f t="shared" si="148"/>
        <v/>
      </c>
      <c r="FL791" s="1854" t="str">
        <f t="shared" si="149"/>
        <v/>
      </c>
      <c r="FM791" s="1854" t="str">
        <f t="shared" si="150"/>
        <v/>
      </c>
      <c r="FN791" s="1854" t="str">
        <f t="shared" si="151"/>
        <v/>
      </c>
      <c r="FO791" s="1854" t="str">
        <f t="shared" si="152"/>
        <v/>
      </c>
      <c r="FP791" s="1854" t="str">
        <f t="shared" si="153"/>
        <v/>
      </c>
      <c r="FQ791" s="1854" t="str">
        <f t="shared" si="154"/>
        <v/>
      </c>
      <c r="FR791" s="1854" t="str">
        <f t="shared" si="155"/>
        <v/>
      </c>
      <c r="FS791" s="1854" t="str">
        <f t="shared" si="156"/>
        <v/>
      </c>
      <c r="FT791" s="1854" t="str">
        <f t="shared" si="157"/>
        <v/>
      </c>
      <c r="FU791" s="1854" t="str">
        <f t="shared" si="158"/>
        <v/>
      </c>
      <c r="FV791" s="1854" t="str">
        <f t="shared" si="159"/>
        <v/>
      </c>
      <c r="FW791" s="1854" t="str">
        <f t="shared" si="160"/>
        <v/>
      </c>
      <c r="FX791" s="1854" t="str">
        <f t="shared" si="161"/>
        <v/>
      </c>
      <c r="FY791" s="1854" t="str">
        <f t="shared" si="162"/>
        <v/>
      </c>
      <c r="FZ791" s="1854" t="str">
        <f t="shared" si="163"/>
        <v/>
      </c>
      <c r="GA791" s="1854" t="str">
        <f t="shared" si="164"/>
        <v/>
      </c>
      <c r="GB791" s="1854" t="str">
        <f t="shared" si="165"/>
        <v/>
      </c>
      <c r="GC791" s="1854" t="str">
        <f t="shared" si="166"/>
        <v/>
      </c>
      <c r="GD791" s="1854" t="str">
        <f t="shared" si="167"/>
        <v/>
      </c>
      <c r="GE791" s="1854" t="str">
        <f t="shared" si="168"/>
        <v/>
      </c>
      <c r="GF791" s="1854" t="str">
        <f t="shared" si="169"/>
        <v/>
      </c>
      <c r="GG791" s="1854" t="str">
        <f t="shared" si="170"/>
        <v/>
      </c>
      <c r="GH791" s="1854" t="str">
        <f t="shared" si="171"/>
        <v/>
      </c>
      <c r="GI791" s="1854" t="str">
        <f t="shared" si="172"/>
        <v/>
      </c>
      <c r="GJ791" s="1854" t="str">
        <f t="shared" si="173"/>
        <v/>
      </c>
      <c r="GK791" s="1854" t="str">
        <f t="shared" si="174"/>
        <v/>
      </c>
      <c r="GL791" s="1854" t="str">
        <f t="shared" si="175"/>
        <v/>
      </c>
      <c r="GM791" s="1854" t="str">
        <f t="shared" si="176"/>
        <v/>
      </c>
      <c r="GN791" s="1854" t="str">
        <f t="shared" si="177"/>
        <v/>
      </c>
      <c r="GO791" s="1854" t="str">
        <f t="shared" si="178"/>
        <v/>
      </c>
      <c r="GP791" s="1854" t="str">
        <f t="shared" si="179"/>
        <v/>
      </c>
      <c r="GQ791" s="1854" t="str">
        <f t="shared" si="180"/>
        <v/>
      </c>
      <c r="GR791" s="1854" t="str">
        <f t="shared" si="181"/>
        <v/>
      </c>
      <c r="GS791" s="1854" t="str">
        <f t="shared" si="182"/>
        <v/>
      </c>
      <c r="GT791" s="1854" t="str">
        <f t="shared" si="183"/>
        <v/>
      </c>
      <c r="GU791" s="1854" t="str">
        <f t="shared" si="184"/>
        <v/>
      </c>
      <c r="GV791" s="1854" t="str">
        <f t="shared" si="185"/>
        <v/>
      </c>
      <c r="GW791" s="1854" t="str">
        <f t="shared" si="186"/>
        <v/>
      </c>
      <c r="GX791" s="1854" t="str">
        <f t="shared" si="187"/>
        <v/>
      </c>
      <c r="GY791" s="1854" t="str">
        <f t="shared" si="188"/>
        <v/>
      </c>
      <c r="GZ791" s="1854" t="str">
        <f t="shared" si="189"/>
        <v/>
      </c>
      <c r="HA791" s="1854" t="str">
        <f t="shared" si="190"/>
        <v/>
      </c>
      <c r="HB791" s="1854" t="str">
        <f t="shared" si="191"/>
        <v/>
      </c>
      <c r="HC791" s="1854" t="str">
        <f t="shared" si="192"/>
        <v/>
      </c>
      <c r="HD791" s="1854" t="str">
        <f t="shared" si="193"/>
        <v/>
      </c>
      <c r="HE791" s="1854" t="str">
        <f t="shared" si="194"/>
        <v/>
      </c>
      <c r="HF791" s="1854" t="str">
        <f t="shared" si="195"/>
        <v/>
      </c>
      <c r="HG791" s="1854" t="str">
        <f t="shared" si="196"/>
        <v/>
      </c>
      <c r="HH791" s="1854" t="str">
        <f t="shared" si="197"/>
        <v/>
      </c>
      <c r="HI791" s="1854" t="str">
        <f t="shared" si="198"/>
        <v/>
      </c>
      <c r="HJ791" s="1854" t="str">
        <f t="shared" si="199"/>
        <v/>
      </c>
      <c r="HK791" s="1854" t="str">
        <f t="shared" si="200"/>
        <v/>
      </c>
      <c r="HL791" s="1854" t="str">
        <f t="shared" si="201"/>
        <v/>
      </c>
      <c r="HM791" s="1854" t="str">
        <f t="shared" si="202"/>
        <v/>
      </c>
      <c r="HN791" s="1854" t="str">
        <f t="shared" si="203"/>
        <v/>
      </c>
      <c r="HO791" s="1854" t="str">
        <f t="shared" si="204"/>
        <v/>
      </c>
      <c r="HP791" s="1854" t="str">
        <f t="shared" si="205"/>
        <v/>
      </c>
      <c r="HQ791" s="1854" t="str">
        <f t="shared" si="206"/>
        <v/>
      </c>
      <c r="HR791" s="1854" t="str">
        <f t="shared" si="207"/>
        <v/>
      </c>
      <c r="HS791" s="1854" t="str">
        <f t="shared" si="208"/>
        <v/>
      </c>
      <c r="HT791" s="1854" t="str">
        <f t="shared" si="209"/>
        <v/>
      </c>
      <c r="HU791" s="1854" t="str">
        <f t="shared" si="210"/>
        <v/>
      </c>
      <c r="HV791" s="1854" t="str">
        <f t="shared" si="211"/>
        <v/>
      </c>
      <c r="HW791" s="1854" t="str">
        <f t="shared" si="212"/>
        <v/>
      </c>
      <c r="HX791" s="1854" t="str">
        <f t="shared" si="213"/>
        <v/>
      </c>
      <c r="HY791" s="1854" t="str">
        <f t="shared" si="214"/>
        <v/>
      </c>
      <c r="HZ791" s="1854" t="str">
        <f t="shared" si="215"/>
        <v/>
      </c>
      <c r="IA791" s="1854" t="str">
        <f t="shared" si="216"/>
        <v/>
      </c>
      <c r="IB791" s="1854" t="str">
        <f t="shared" si="217"/>
        <v/>
      </c>
      <c r="IC791" s="1854" t="str">
        <f t="shared" si="218"/>
        <v/>
      </c>
      <c r="ID791" s="1826" t="str">
        <f t="shared" si="219"/>
        <v/>
      </c>
      <c r="IE791" s="1826" t="str">
        <f t="shared" si="220"/>
        <v/>
      </c>
      <c r="IF791" s="1826" t="str">
        <f t="shared" si="221"/>
        <v/>
      </c>
      <c r="IG791" s="1826" t="str">
        <f t="shared" si="222"/>
        <v/>
      </c>
      <c r="IH791" s="1826" t="str">
        <f t="shared" si="223"/>
        <v/>
      </c>
      <c r="II791" s="683" t="str">
        <f t="shared" si="224"/>
        <v/>
      </c>
      <c r="IJ791" s="683" t="str">
        <f t="shared" si="225"/>
        <v/>
      </c>
      <c r="IK791" s="683" t="str">
        <f t="shared" si="226"/>
        <v/>
      </c>
      <c r="IL791" s="683" t="str">
        <f t="shared" si="227"/>
        <v/>
      </c>
      <c r="IM791" s="683" t="str">
        <f t="shared" si="228"/>
        <v/>
      </c>
      <c r="IN791" s="683" t="str">
        <f t="shared" si="229"/>
        <v/>
      </c>
      <c r="IO791" s="683" t="str">
        <f t="shared" si="230"/>
        <v/>
      </c>
      <c r="IP791" s="683" t="str">
        <f t="shared" si="231"/>
        <v/>
      </c>
      <c r="IQ791" s="683" t="str">
        <f t="shared" si="232"/>
        <v/>
      </c>
      <c r="IR791" s="683" t="str">
        <f t="shared" si="233"/>
        <v/>
      </c>
      <c r="IS791" s="683" t="str">
        <f t="shared" si="234"/>
        <v/>
      </c>
      <c r="IT791" s="683" t="str">
        <f t="shared" si="235"/>
        <v/>
      </c>
      <c r="IU791" s="683" t="str">
        <f t="shared" si="236"/>
        <v/>
      </c>
      <c r="IV791" s="683" t="str">
        <f t="shared" si="237"/>
        <v/>
      </c>
      <c r="IW791" s="683" t="str">
        <f t="shared" si="238"/>
        <v/>
      </c>
      <c r="IX791" s="683" t="str">
        <f t="shared" si="239"/>
        <v/>
      </c>
      <c r="IY791" s="683" t="str">
        <f t="shared" si="240"/>
        <v/>
      </c>
      <c r="IZ791" s="683" t="str">
        <f t="shared" si="241"/>
        <v/>
      </c>
      <c r="JA791" s="683" t="str">
        <f t="shared" si="242"/>
        <v/>
      </c>
      <c r="JB791" s="683" t="str">
        <f t="shared" si="243"/>
        <v/>
      </c>
      <c r="JC791" s="1824">
        <f t="shared" si="244"/>
        <v>0</v>
      </c>
      <c r="JD791" s="1824">
        <f t="shared" si="245"/>
        <v>0</v>
      </c>
      <c r="JE791" s="1824">
        <f t="shared" si="246"/>
        <v>0</v>
      </c>
      <c r="JF791" s="1824">
        <f t="shared" si="247"/>
        <v>0</v>
      </c>
      <c r="JG791" s="1824">
        <f t="shared" si="248"/>
        <v>0</v>
      </c>
      <c r="JH791" s="1824">
        <f t="shared" si="249"/>
        <v>0</v>
      </c>
      <c r="JI791" s="1824">
        <f t="shared" si="250"/>
        <v>0</v>
      </c>
      <c r="JJ791" s="1824">
        <f t="shared" si="251"/>
        <v>0</v>
      </c>
      <c r="JK791" s="1824">
        <f t="shared" si="252"/>
        <v>0</v>
      </c>
      <c r="JL791" s="1824">
        <f t="shared" si="253"/>
        <v>0</v>
      </c>
      <c r="JM791" s="1824">
        <f t="shared" si="254"/>
        <v>0</v>
      </c>
      <c r="JN791" s="1824">
        <f t="shared" si="255"/>
        <v>0</v>
      </c>
      <c r="JO791" s="1824">
        <f t="shared" si="256"/>
        <v>0</v>
      </c>
      <c r="JP791" s="1824">
        <f t="shared" si="257"/>
        <v>0</v>
      </c>
      <c r="JQ791" s="1824">
        <f t="shared" si="258"/>
        <v>0</v>
      </c>
    </row>
    <row r="792" spans="1:277" ht="12" customHeight="1">
      <c r="A792" s="1837" t="str">
        <f t="shared" si="1"/>
        <v/>
      </c>
      <c r="B792" s="1846" t="str">
        <f>'Part VI-Revenues &amp; Expenses'!B35</f>
        <v>&lt;&lt;Select&gt;&gt;</v>
      </c>
      <c r="C792" s="1847">
        <f>'Part VI-Revenues &amp; Expenses'!C35</f>
        <v>0</v>
      </c>
      <c r="D792" s="1848">
        <f>'Part VI-Revenues &amp; Expenses'!D35</f>
        <v>0</v>
      </c>
      <c r="E792" s="1849">
        <f>'Part VI-Revenues &amp; Expenses'!E35</f>
        <v>0</v>
      </c>
      <c r="F792" s="1849">
        <f>'Part VI-Revenues &amp; Expenses'!F35</f>
        <v>0</v>
      </c>
      <c r="G792" s="1849">
        <f>'Part VI-Revenues &amp; Expenses'!G35</f>
        <v>0</v>
      </c>
      <c r="H792" s="1849">
        <f>'Part VI-Revenues &amp; Expenses'!H35</f>
        <v>0</v>
      </c>
      <c r="I792" s="1849">
        <f>'Part VI-Revenues &amp; Expenses'!I35</f>
        <v>0</v>
      </c>
      <c r="J792" s="1850">
        <f>'Part VI-Revenues &amp; Expenses'!J35</f>
        <v>0</v>
      </c>
      <c r="K792" s="1851">
        <f t="shared" si="2"/>
        <v>0</v>
      </c>
      <c r="L792" s="1851">
        <f t="shared" si="3"/>
        <v>0</v>
      </c>
      <c r="M792" s="1725">
        <f>'Part VI-Revenues &amp; Expenses'!M35</f>
        <v>0</v>
      </c>
      <c r="N792" s="1725">
        <f>'Part VI-Revenues &amp; Expenses'!N35</f>
        <v>0</v>
      </c>
      <c r="O792" s="1725">
        <f>'Part VI-Revenues &amp; Expenses'!O35</f>
        <v>0</v>
      </c>
      <c r="P792" s="1831">
        <f>'Part VI-Revenues &amp; Expenses'!P35</f>
        <v>0</v>
      </c>
      <c r="Q792" s="1852" t="str">
        <f>'Part VI-Revenues &amp; Expenses'!Q35</f>
        <v/>
      </c>
      <c r="R792" s="1853" t="str">
        <f>'Part VI-Revenues &amp; Expenses'!R35</f>
        <v/>
      </c>
      <c r="S792" s="1852">
        <f>'Part VI-Revenues &amp; Expenses'!S35</f>
        <v>0</v>
      </c>
      <c r="T792" s="1853">
        <f>'Part VI-Revenues &amp; Expenses'!T35</f>
        <v>0</v>
      </c>
      <c r="U792" s="1775"/>
      <c r="V792" s="1775"/>
      <c r="W792" s="683" t="str">
        <f t="shared" si="4"/>
        <v/>
      </c>
      <c r="X792" s="683" t="str">
        <f t="shared" si="5"/>
        <v/>
      </c>
      <c r="Y792" s="683" t="str">
        <f t="shared" si="6"/>
        <v/>
      </c>
      <c r="Z792" s="683" t="str">
        <f t="shared" si="7"/>
        <v/>
      </c>
      <c r="AA792" s="683" t="str">
        <f t="shared" si="8"/>
        <v/>
      </c>
      <c r="AB792" s="683" t="str">
        <f t="shared" si="9"/>
        <v/>
      </c>
      <c r="AC792" s="683" t="str">
        <f t="shared" si="10"/>
        <v/>
      </c>
      <c r="AD792" s="683" t="str">
        <f t="shared" si="11"/>
        <v/>
      </c>
      <c r="AE792" s="683" t="str">
        <f t="shared" si="12"/>
        <v/>
      </c>
      <c r="AF792" s="683" t="str">
        <f t="shared" si="13"/>
        <v/>
      </c>
      <c r="AG792" s="683" t="str">
        <f t="shared" si="14"/>
        <v/>
      </c>
      <c r="AH792" s="683" t="str">
        <f t="shared" si="15"/>
        <v/>
      </c>
      <c r="AI792" s="683" t="str">
        <f t="shared" si="16"/>
        <v/>
      </c>
      <c r="AJ792" s="683" t="str">
        <f t="shared" si="17"/>
        <v/>
      </c>
      <c r="AK792" s="683" t="str">
        <f t="shared" si="18"/>
        <v/>
      </c>
      <c r="AL792" s="683" t="str">
        <f t="shared" si="19"/>
        <v/>
      </c>
      <c r="AM792" s="683" t="str">
        <f t="shared" si="20"/>
        <v/>
      </c>
      <c r="AN792" s="683" t="str">
        <f t="shared" si="21"/>
        <v/>
      </c>
      <c r="AO792" s="683" t="str">
        <f t="shared" si="22"/>
        <v/>
      </c>
      <c r="AP792" s="683" t="str">
        <f t="shared" si="23"/>
        <v/>
      </c>
      <c r="AQ792" s="683" t="str">
        <f t="shared" si="24"/>
        <v/>
      </c>
      <c r="AR792" s="683" t="str">
        <f t="shared" si="25"/>
        <v/>
      </c>
      <c r="AS792" s="683" t="str">
        <f t="shared" si="26"/>
        <v/>
      </c>
      <c r="AT792" s="683" t="str">
        <f t="shared" si="27"/>
        <v/>
      </c>
      <c r="AU792" s="683" t="str">
        <f t="shared" si="28"/>
        <v/>
      </c>
      <c r="AV792" s="683" t="str">
        <f t="shared" si="29"/>
        <v/>
      </c>
      <c r="AW792" s="683" t="str">
        <f t="shared" si="30"/>
        <v/>
      </c>
      <c r="AX792" s="683" t="str">
        <f t="shared" si="31"/>
        <v/>
      </c>
      <c r="AY792" s="683" t="str">
        <f t="shared" si="32"/>
        <v/>
      </c>
      <c r="AZ792" s="683" t="str">
        <f t="shared" si="33"/>
        <v/>
      </c>
      <c r="BA792" s="683" t="str">
        <f t="shared" si="34"/>
        <v/>
      </c>
      <c r="BB792" s="683" t="str">
        <f t="shared" si="35"/>
        <v/>
      </c>
      <c r="BC792" s="683" t="str">
        <f t="shared" si="36"/>
        <v/>
      </c>
      <c r="BD792" s="683" t="str">
        <f t="shared" si="37"/>
        <v/>
      </c>
      <c r="BE792" s="683" t="str">
        <f t="shared" si="38"/>
        <v/>
      </c>
      <c r="BF792" s="683" t="str">
        <f t="shared" si="39"/>
        <v/>
      </c>
      <c r="BG792" s="683" t="str">
        <f t="shared" si="40"/>
        <v/>
      </c>
      <c r="BH792" s="683" t="str">
        <f t="shared" si="41"/>
        <v/>
      </c>
      <c r="BI792" s="683" t="str">
        <f t="shared" si="42"/>
        <v/>
      </c>
      <c r="BJ792" s="683" t="str">
        <f t="shared" si="43"/>
        <v/>
      </c>
      <c r="BK792" s="683" t="str">
        <f t="shared" si="44"/>
        <v/>
      </c>
      <c r="BL792" s="683" t="str">
        <f t="shared" si="45"/>
        <v/>
      </c>
      <c r="BM792" s="683" t="str">
        <f t="shared" si="46"/>
        <v/>
      </c>
      <c r="BN792" s="683" t="str">
        <f t="shared" si="47"/>
        <v/>
      </c>
      <c r="BO792" s="683" t="str">
        <f t="shared" si="48"/>
        <v/>
      </c>
      <c r="BP792" s="683" t="str">
        <f t="shared" si="49"/>
        <v/>
      </c>
      <c r="BQ792" s="683" t="str">
        <f t="shared" si="50"/>
        <v/>
      </c>
      <c r="BR792" s="683" t="str">
        <f t="shared" si="51"/>
        <v/>
      </c>
      <c r="BS792" s="683" t="str">
        <f t="shared" si="52"/>
        <v/>
      </c>
      <c r="BT792" s="683" t="str">
        <f t="shared" si="53"/>
        <v/>
      </c>
      <c r="BU792" s="683" t="str">
        <f t="shared" si="54"/>
        <v/>
      </c>
      <c r="BV792" s="683" t="str">
        <f t="shared" si="55"/>
        <v/>
      </c>
      <c r="BW792" s="683" t="str">
        <f t="shared" si="56"/>
        <v/>
      </c>
      <c r="BX792" s="683" t="str">
        <f t="shared" si="57"/>
        <v/>
      </c>
      <c r="BY792" s="683" t="str">
        <f t="shared" si="58"/>
        <v/>
      </c>
      <c r="BZ792" s="683" t="str">
        <f t="shared" si="59"/>
        <v/>
      </c>
      <c r="CA792" s="683" t="str">
        <f t="shared" si="60"/>
        <v/>
      </c>
      <c r="CB792" s="683" t="str">
        <f t="shared" si="61"/>
        <v/>
      </c>
      <c r="CC792" s="683" t="str">
        <f t="shared" si="62"/>
        <v/>
      </c>
      <c r="CD792" s="683" t="str">
        <f t="shared" si="63"/>
        <v/>
      </c>
      <c r="CE792" s="683" t="str">
        <f t="shared" si="64"/>
        <v/>
      </c>
      <c r="CF792" s="683" t="str">
        <f t="shared" si="65"/>
        <v/>
      </c>
      <c r="CG792" s="683" t="str">
        <f t="shared" si="66"/>
        <v/>
      </c>
      <c r="CH792" s="683" t="str">
        <f t="shared" si="67"/>
        <v/>
      </c>
      <c r="CI792" s="683" t="str">
        <f t="shared" si="68"/>
        <v/>
      </c>
      <c r="CJ792" s="683" t="str">
        <f t="shared" si="69"/>
        <v/>
      </c>
      <c r="CK792" s="683" t="str">
        <f t="shared" si="70"/>
        <v/>
      </c>
      <c r="CL792" s="683" t="str">
        <f t="shared" si="71"/>
        <v/>
      </c>
      <c r="CM792" s="683" t="str">
        <f t="shared" si="72"/>
        <v/>
      </c>
      <c r="CN792" s="683" t="str">
        <f t="shared" si="73"/>
        <v/>
      </c>
      <c r="CO792" s="683" t="str">
        <f t="shared" si="74"/>
        <v/>
      </c>
      <c r="CP792" s="683" t="str">
        <f t="shared" si="75"/>
        <v/>
      </c>
      <c r="CQ792" s="683" t="str">
        <f t="shared" si="76"/>
        <v/>
      </c>
      <c r="CR792" s="683" t="str">
        <f t="shared" si="77"/>
        <v/>
      </c>
      <c r="CS792" s="683" t="str">
        <f t="shared" si="78"/>
        <v/>
      </c>
      <c r="CT792" s="683" t="str">
        <f t="shared" si="79"/>
        <v/>
      </c>
      <c r="CU792" s="683" t="str">
        <f t="shared" si="80"/>
        <v/>
      </c>
      <c r="CV792" s="683" t="str">
        <f t="shared" si="81"/>
        <v/>
      </c>
      <c r="CW792" s="683" t="str">
        <f t="shared" si="82"/>
        <v/>
      </c>
      <c r="CX792" s="683" t="str">
        <f t="shared" si="83"/>
        <v/>
      </c>
      <c r="CY792" s="683" t="str">
        <f t="shared" si="84"/>
        <v/>
      </c>
      <c r="CZ792" s="683" t="str">
        <f t="shared" si="85"/>
        <v/>
      </c>
      <c r="DA792" s="683" t="str">
        <f t="shared" si="86"/>
        <v/>
      </c>
      <c r="DB792" s="683" t="str">
        <f t="shared" si="87"/>
        <v/>
      </c>
      <c r="DC792" s="683" t="str">
        <f t="shared" si="88"/>
        <v/>
      </c>
      <c r="DD792" s="683" t="str">
        <f t="shared" si="89"/>
        <v/>
      </c>
      <c r="DE792" s="683" t="str">
        <f t="shared" si="90"/>
        <v/>
      </c>
      <c r="DF792" s="683" t="str">
        <f t="shared" si="91"/>
        <v/>
      </c>
      <c r="DG792" s="683" t="str">
        <f t="shared" si="92"/>
        <v/>
      </c>
      <c r="DH792" s="683" t="str">
        <f t="shared" si="93"/>
        <v/>
      </c>
      <c r="DI792" s="683" t="str">
        <f t="shared" si="94"/>
        <v/>
      </c>
      <c r="DJ792" s="683" t="str">
        <f t="shared" si="95"/>
        <v/>
      </c>
      <c r="DK792" s="683" t="str">
        <f t="shared" si="96"/>
        <v/>
      </c>
      <c r="DL792" s="683" t="str">
        <f t="shared" si="97"/>
        <v/>
      </c>
      <c r="DM792" s="683" t="str">
        <f t="shared" si="98"/>
        <v/>
      </c>
      <c r="DN792" s="683" t="str">
        <f t="shared" si="99"/>
        <v/>
      </c>
      <c r="DO792" s="683" t="str">
        <f t="shared" si="100"/>
        <v/>
      </c>
      <c r="DP792" s="683" t="str">
        <f t="shared" si="101"/>
        <v/>
      </c>
      <c r="DQ792" s="683" t="str">
        <f t="shared" si="102"/>
        <v/>
      </c>
      <c r="DR792" s="683" t="str">
        <f t="shared" si="103"/>
        <v/>
      </c>
      <c r="DS792" s="683" t="str">
        <f t="shared" si="104"/>
        <v/>
      </c>
      <c r="DT792" s="683" t="str">
        <f t="shared" si="105"/>
        <v/>
      </c>
      <c r="DU792" s="683" t="str">
        <f t="shared" si="106"/>
        <v/>
      </c>
      <c r="DV792" s="683" t="str">
        <f t="shared" si="107"/>
        <v/>
      </c>
      <c r="DW792" s="683" t="str">
        <f t="shared" si="108"/>
        <v/>
      </c>
      <c r="DX792" s="683" t="str">
        <f t="shared" si="109"/>
        <v/>
      </c>
      <c r="DY792" s="683" t="str">
        <f t="shared" si="110"/>
        <v/>
      </c>
      <c r="DZ792" s="683" t="str">
        <f t="shared" si="111"/>
        <v/>
      </c>
      <c r="EA792" s="683" t="str">
        <f t="shared" si="112"/>
        <v/>
      </c>
      <c r="EB792" s="683" t="str">
        <f t="shared" si="113"/>
        <v/>
      </c>
      <c r="EC792" s="683" t="str">
        <f t="shared" si="114"/>
        <v/>
      </c>
      <c r="ED792" s="683" t="str">
        <f t="shared" si="115"/>
        <v/>
      </c>
      <c r="EE792" s="683" t="str">
        <f t="shared" si="116"/>
        <v/>
      </c>
      <c r="EF792" s="683" t="str">
        <f t="shared" si="117"/>
        <v/>
      </c>
      <c r="EG792" s="683" t="str">
        <f t="shared" si="118"/>
        <v/>
      </c>
      <c r="EH792" s="683" t="str">
        <f t="shared" si="119"/>
        <v/>
      </c>
      <c r="EI792" s="683" t="str">
        <f t="shared" si="120"/>
        <v/>
      </c>
      <c r="EJ792" s="683" t="str">
        <f t="shared" si="121"/>
        <v/>
      </c>
      <c r="EK792" s="683" t="str">
        <f t="shared" si="122"/>
        <v/>
      </c>
      <c r="EL792" s="683" t="str">
        <f t="shared" si="123"/>
        <v/>
      </c>
      <c r="EM792" s="683" t="str">
        <f t="shared" si="124"/>
        <v/>
      </c>
      <c r="EN792" s="683" t="str">
        <f t="shared" si="125"/>
        <v/>
      </c>
      <c r="EO792" s="683" t="str">
        <f t="shared" si="126"/>
        <v/>
      </c>
      <c r="EP792" s="683" t="str">
        <f t="shared" si="127"/>
        <v/>
      </c>
      <c r="EQ792" s="683" t="str">
        <f t="shared" si="128"/>
        <v/>
      </c>
      <c r="ER792" s="683" t="str">
        <f t="shared" si="129"/>
        <v/>
      </c>
      <c r="ES792" s="683" t="str">
        <f t="shared" si="130"/>
        <v/>
      </c>
      <c r="ET792" s="683" t="str">
        <f t="shared" si="131"/>
        <v/>
      </c>
      <c r="EU792" s="683" t="str">
        <f t="shared" si="132"/>
        <v/>
      </c>
      <c r="EV792" s="683" t="str">
        <f t="shared" si="133"/>
        <v/>
      </c>
      <c r="EW792" s="1854" t="str">
        <f t="shared" si="134"/>
        <v/>
      </c>
      <c r="EX792" s="1854" t="str">
        <f t="shared" si="135"/>
        <v/>
      </c>
      <c r="EY792" s="1854" t="str">
        <f t="shared" si="136"/>
        <v/>
      </c>
      <c r="EZ792" s="1854" t="str">
        <f t="shared" si="137"/>
        <v/>
      </c>
      <c r="FA792" s="1854" t="str">
        <f t="shared" si="138"/>
        <v/>
      </c>
      <c r="FB792" s="1854" t="str">
        <f t="shared" si="139"/>
        <v/>
      </c>
      <c r="FC792" s="1854" t="str">
        <f t="shared" si="140"/>
        <v/>
      </c>
      <c r="FD792" s="1854" t="str">
        <f t="shared" si="141"/>
        <v/>
      </c>
      <c r="FE792" s="1854" t="str">
        <f t="shared" si="142"/>
        <v/>
      </c>
      <c r="FF792" s="1854" t="str">
        <f t="shared" si="143"/>
        <v/>
      </c>
      <c r="FG792" s="1854" t="str">
        <f t="shared" si="144"/>
        <v/>
      </c>
      <c r="FH792" s="1854" t="str">
        <f t="shared" si="145"/>
        <v/>
      </c>
      <c r="FI792" s="1854" t="str">
        <f t="shared" si="146"/>
        <v/>
      </c>
      <c r="FJ792" s="1854" t="str">
        <f t="shared" si="147"/>
        <v/>
      </c>
      <c r="FK792" s="1854" t="str">
        <f t="shared" si="148"/>
        <v/>
      </c>
      <c r="FL792" s="1854" t="str">
        <f t="shared" si="149"/>
        <v/>
      </c>
      <c r="FM792" s="1854" t="str">
        <f t="shared" si="150"/>
        <v/>
      </c>
      <c r="FN792" s="1854" t="str">
        <f t="shared" si="151"/>
        <v/>
      </c>
      <c r="FO792" s="1854" t="str">
        <f t="shared" si="152"/>
        <v/>
      </c>
      <c r="FP792" s="1854" t="str">
        <f t="shared" si="153"/>
        <v/>
      </c>
      <c r="FQ792" s="1854" t="str">
        <f t="shared" si="154"/>
        <v/>
      </c>
      <c r="FR792" s="1854" t="str">
        <f t="shared" si="155"/>
        <v/>
      </c>
      <c r="FS792" s="1854" t="str">
        <f t="shared" si="156"/>
        <v/>
      </c>
      <c r="FT792" s="1854" t="str">
        <f t="shared" si="157"/>
        <v/>
      </c>
      <c r="FU792" s="1854" t="str">
        <f t="shared" si="158"/>
        <v/>
      </c>
      <c r="FV792" s="1854" t="str">
        <f t="shared" si="159"/>
        <v/>
      </c>
      <c r="FW792" s="1854" t="str">
        <f t="shared" si="160"/>
        <v/>
      </c>
      <c r="FX792" s="1854" t="str">
        <f t="shared" si="161"/>
        <v/>
      </c>
      <c r="FY792" s="1854" t="str">
        <f t="shared" si="162"/>
        <v/>
      </c>
      <c r="FZ792" s="1854" t="str">
        <f t="shared" si="163"/>
        <v/>
      </c>
      <c r="GA792" s="1854" t="str">
        <f t="shared" si="164"/>
        <v/>
      </c>
      <c r="GB792" s="1854" t="str">
        <f t="shared" si="165"/>
        <v/>
      </c>
      <c r="GC792" s="1854" t="str">
        <f t="shared" si="166"/>
        <v/>
      </c>
      <c r="GD792" s="1854" t="str">
        <f t="shared" si="167"/>
        <v/>
      </c>
      <c r="GE792" s="1854" t="str">
        <f t="shared" si="168"/>
        <v/>
      </c>
      <c r="GF792" s="1854" t="str">
        <f t="shared" si="169"/>
        <v/>
      </c>
      <c r="GG792" s="1854" t="str">
        <f t="shared" si="170"/>
        <v/>
      </c>
      <c r="GH792" s="1854" t="str">
        <f t="shared" si="171"/>
        <v/>
      </c>
      <c r="GI792" s="1854" t="str">
        <f t="shared" si="172"/>
        <v/>
      </c>
      <c r="GJ792" s="1854" t="str">
        <f t="shared" si="173"/>
        <v/>
      </c>
      <c r="GK792" s="1854" t="str">
        <f t="shared" si="174"/>
        <v/>
      </c>
      <c r="GL792" s="1854" t="str">
        <f t="shared" si="175"/>
        <v/>
      </c>
      <c r="GM792" s="1854" t="str">
        <f t="shared" si="176"/>
        <v/>
      </c>
      <c r="GN792" s="1854" t="str">
        <f t="shared" si="177"/>
        <v/>
      </c>
      <c r="GO792" s="1854" t="str">
        <f t="shared" si="178"/>
        <v/>
      </c>
      <c r="GP792" s="1854" t="str">
        <f t="shared" si="179"/>
        <v/>
      </c>
      <c r="GQ792" s="1854" t="str">
        <f t="shared" si="180"/>
        <v/>
      </c>
      <c r="GR792" s="1854" t="str">
        <f t="shared" si="181"/>
        <v/>
      </c>
      <c r="GS792" s="1854" t="str">
        <f t="shared" si="182"/>
        <v/>
      </c>
      <c r="GT792" s="1854" t="str">
        <f t="shared" si="183"/>
        <v/>
      </c>
      <c r="GU792" s="1854" t="str">
        <f t="shared" si="184"/>
        <v/>
      </c>
      <c r="GV792" s="1854" t="str">
        <f t="shared" si="185"/>
        <v/>
      </c>
      <c r="GW792" s="1854" t="str">
        <f t="shared" si="186"/>
        <v/>
      </c>
      <c r="GX792" s="1854" t="str">
        <f t="shared" si="187"/>
        <v/>
      </c>
      <c r="GY792" s="1854" t="str">
        <f t="shared" si="188"/>
        <v/>
      </c>
      <c r="GZ792" s="1854" t="str">
        <f t="shared" si="189"/>
        <v/>
      </c>
      <c r="HA792" s="1854" t="str">
        <f t="shared" si="190"/>
        <v/>
      </c>
      <c r="HB792" s="1854" t="str">
        <f t="shared" si="191"/>
        <v/>
      </c>
      <c r="HC792" s="1854" t="str">
        <f t="shared" si="192"/>
        <v/>
      </c>
      <c r="HD792" s="1854" t="str">
        <f t="shared" si="193"/>
        <v/>
      </c>
      <c r="HE792" s="1854" t="str">
        <f t="shared" si="194"/>
        <v/>
      </c>
      <c r="HF792" s="1854" t="str">
        <f t="shared" si="195"/>
        <v/>
      </c>
      <c r="HG792" s="1854" t="str">
        <f t="shared" si="196"/>
        <v/>
      </c>
      <c r="HH792" s="1854" t="str">
        <f t="shared" si="197"/>
        <v/>
      </c>
      <c r="HI792" s="1854" t="str">
        <f t="shared" si="198"/>
        <v/>
      </c>
      <c r="HJ792" s="1854" t="str">
        <f t="shared" si="199"/>
        <v/>
      </c>
      <c r="HK792" s="1854" t="str">
        <f t="shared" si="200"/>
        <v/>
      </c>
      <c r="HL792" s="1854" t="str">
        <f t="shared" si="201"/>
        <v/>
      </c>
      <c r="HM792" s="1854" t="str">
        <f t="shared" si="202"/>
        <v/>
      </c>
      <c r="HN792" s="1854" t="str">
        <f t="shared" si="203"/>
        <v/>
      </c>
      <c r="HO792" s="1854" t="str">
        <f t="shared" si="204"/>
        <v/>
      </c>
      <c r="HP792" s="1854" t="str">
        <f t="shared" si="205"/>
        <v/>
      </c>
      <c r="HQ792" s="1854" t="str">
        <f t="shared" si="206"/>
        <v/>
      </c>
      <c r="HR792" s="1854" t="str">
        <f t="shared" si="207"/>
        <v/>
      </c>
      <c r="HS792" s="1854" t="str">
        <f t="shared" si="208"/>
        <v/>
      </c>
      <c r="HT792" s="1854" t="str">
        <f t="shared" si="209"/>
        <v/>
      </c>
      <c r="HU792" s="1854" t="str">
        <f t="shared" si="210"/>
        <v/>
      </c>
      <c r="HV792" s="1854" t="str">
        <f t="shared" si="211"/>
        <v/>
      </c>
      <c r="HW792" s="1854" t="str">
        <f t="shared" si="212"/>
        <v/>
      </c>
      <c r="HX792" s="1854" t="str">
        <f t="shared" si="213"/>
        <v/>
      </c>
      <c r="HY792" s="1854" t="str">
        <f t="shared" si="214"/>
        <v/>
      </c>
      <c r="HZ792" s="1854" t="str">
        <f t="shared" si="215"/>
        <v/>
      </c>
      <c r="IA792" s="1854" t="str">
        <f t="shared" si="216"/>
        <v/>
      </c>
      <c r="IB792" s="1854" t="str">
        <f t="shared" si="217"/>
        <v/>
      </c>
      <c r="IC792" s="1854" t="str">
        <f t="shared" si="218"/>
        <v/>
      </c>
      <c r="ID792" s="1826" t="str">
        <f t="shared" si="219"/>
        <v/>
      </c>
      <c r="IE792" s="1826" t="str">
        <f t="shared" si="220"/>
        <v/>
      </c>
      <c r="IF792" s="1826" t="str">
        <f t="shared" si="221"/>
        <v/>
      </c>
      <c r="IG792" s="1826" t="str">
        <f t="shared" si="222"/>
        <v/>
      </c>
      <c r="IH792" s="1826" t="str">
        <f t="shared" si="223"/>
        <v/>
      </c>
      <c r="II792" s="683" t="str">
        <f t="shared" si="224"/>
        <v/>
      </c>
      <c r="IJ792" s="683" t="str">
        <f t="shared" si="225"/>
        <v/>
      </c>
      <c r="IK792" s="683" t="str">
        <f t="shared" si="226"/>
        <v/>
      </c>
      <c r="IL792" s="683" t="str">
        <f t="shared" si="227"/>
        <v/>
      </c>
      <c r="IM792" s="683" t="str">
        <f t="shared" si="228"/>
        <v/>
      </c>
      <c r="IN792" s="683" t="str">
        <f t="shared" si="229"/>
        <v/>
      </c>
      <c r="IO792" s="683" t="str">
        <f t="shared" si="230"/>
        <v/>
      </c>
      <c r="IP792" s="683" t="str">
        <f t="shared" si="231"/>
        <v/>
      </c>
      <c r="IQ792" s="683" t="str">
        <f t="shared" si="232"/>
        <v/>
      </c>
      <c r="IR792" s="683" t="str">
        <f t="shared" si="233"/>
        <v/>
      </c>
      <c r="IS792" s="683" t="str">
        <f t="shared" si="234"/>
        <v/>
      </c>
      <c r="IT792" s="683" t="str">
        <f t="shared" si="235"/>
        <v/>
      </c>
      <c r="IU792" s="683" t="str">
        <f t="shared" si="236"/>
        <v/>
      </c>
      <c r="IV792" s="683" t="str">
        <f t="shared" si="237"/>
        <v/>
      </c>
      <c r="IW792" s="683" t="str">
        <f t="shared" si="238"/>
        <v/>
      </c>
      <c r="IX792" s="683" t="str">
        <f t="shared" si="239"/>
        <v/>
      </c>
      <c r="IY792" s="683" t="str">
        <f t="shared" si="240"/>
        <v/>
      </c>
      <c r="IZ792" s="683" t="str">
        <f t="shared" si="241"/>
        <v/>
      </c>
      <c r="JA792" s="683" t="str">
        <f t="shared" si="242"/>
        <v/>
      </c>
      <c r="JB792" s="683" t="str">
        <f t="shared" si="243"/>
        <v/>
      </c>
      <c r="JC792" s="1824">
        <f t="shared" si="244"/>
        <v>0</v>
      </c>
      <c r="JD792" s="1824">
        <f t="shared" si="245"/>
        <v>0</v>
      </c>
      <c r="JE792" s="1824">
        <f t="shared" si="246"/>
        <v>0</v>
      </c>
      <c r="JF792" s="1824">
        <f t="shared" si="247"/>
        <v>0</v>
      </c>
      <c r="JG792" s="1824">
        <f t="shared" si="248"/>
        <v>0</v>
      </c>
      <c r="JH792" s="1824">
        <f t="shared" si="249"/>
        <v>0</v>
      </c>
      <c r="JI792" s="1824">
        <f t="shared" si="250"/>
        <v>0</v>
      </c>
      <c r="JJ792" s="1824">
        <f t="shared" si="251"/>
        <v>0</v>
      </c>
      <c r="JK792" s="1824">
        <f t="shared" si="252"/>
        <v>0</v>
      </c>
      <c r="JL792" s="1824">
        <f t="shared" si="253"/>
        <v>0</v>
      </c>
      <c r="JM792" s="1824">
        <f t="shared" si="254"/>
        <v>0</v>
      </c>
      <c r="JN792" s="1824">
        <f t="shared" si="255"/>
        <v>0</v>
      </c>
      <c r="JO792" s="1824">
        <f t="shared" si="256"/>
        <v>0</v>
      </c>
      <c r="JP792" s="1824">
        <f t="shared" si="257"/>
        <v>0</v>
      </c>
      <c r="JQ792" s="1824">
        <f t="shared" si="258"/>
        <v>0</v>
      </c>
    </row>
    <row r="793" spans="1:277" ht="12" customHeight="1">
      <c r="A793" s="1837" t="str">
        <f t="shared" si="1"/>
        <v/>
      </c>
      <c r="B793" s="1846" t="str">
        <f>'Part VI-Revenues &amp; Expenses'!B36</f>
        <v>&lt;&lt;Select&gt;&gt;</v>
      </c>
      <c r="C793" s="1847">
        <f>'Part VI-Revenues &amp; Expenses'!C36</f>
        <v>0</v>
      </c>
      <c r="D793" s="1848">
        <f>'Part VI-Revenues &amp; Expenses'!D36</f>
        <v>0</v>
      </c>
      <c r="E793" s="1849">
        <f>'Part VI-Revenues &amp; Expenses'!E36</f>
        <v>0</v>
      </c>
      <c r="F793" s="1849">
        <f>'Part VI-Revenues &amp; Expenses'!F36</f>
        <v>0</v>
      </c>
      <c r="G793" s="1849">
        <f>'Part VI-Revenues &amp; Expenses'!G36</f>
        <v>0</v>
      </c>
      <c r="H793" s="1849">
        <f>'Part VI-Revenues &amp; Expenses'!H36</f>
        <v>0</v>
      </c>
      <c r="I793" s="1849">
        <f>'Part VI-Revenues &amp; Expenses'!I36</f>
        <v>0</v>
      </c>
      <c r="J793" s="1850">
        <f>'Part VI-Revenues &amp; Expenses'!J36</f>
        <v>0</v>
      </c>
      <c r="K793" s="1851">
        <f t="shared" si="2"/>
        <v>0</v>
      </c>
      <c r="L793" s="1851">
        <f t="shared" si="3"/>
        <v>0</v>
      </c>
      <c r="M793" s="1725">
        <f>'Part VI-Revenues &amp; Expenses'!M36</f>
        <v>0</v>
      </c>
      <c r="N793" s="1725">
        <f>'Part VI-Revenues &amp; Expenses'!N36</f>
        <v>0</v>
      </c>
      <c r="O793" s="1725">
        <f>'Part VI-Revenues &amp; Expenses'!O36</f>
        <v>0</v>
      </c>
      <c r="P793" s="1831">
        <f>'Part VI-Revenues &amp; Expenses'!P36</f>
        <v>0</v>
      </c>
      <c r="Q793" s="1852" t="str">
        <f>'Part VI-Revenues &amp; Expenses'!Q36</f>
        <v/>
      </c>
      <c r="R793" s="1853" t="str">
        <f>'Part VI-Revenues &amp; Expenses'!R36</f>
        <v/>
      </c>
      <c r="S793" s="1852">
        <f>'Part VI-Revenues &amp; Expenses'!S36</f>
        <v>0</v>
      </c>
      <c r="T793" s="1853">
        <f>'Part VI-Revenues &amp; Expenses'!T36</f>
        <v>0</v>
      </c>
      <c r="U793" s="1775"/>
      <c r="V793" s="1775"/>
      <c r="W793" s="683" t="str">
        <f t="shared" si="4"/>
        <v/>
      </c>
      <c r="X793" s="683" t="str">
        <f t="shared" si="5"/>
        <v/>
      </c>
      <c r="Y793" s="683" t="str">
        <f t="shared" si="6"/>
        <v/>
      </c>
      <c r="Z793" s="683" t="str">
        <f t="shared" si="7"/>
        <v/>
      </c>
      <c r="AA793" s="683" t="str">
        <f t="shared" si="8"/>
        <v/>
      </c>
      <c r="AB793" s="683" t="str">
        <f t="shared" si="9"/>
        <v/>
      </c>
      <c r="AC793" s="683" t="str">
        <f t="shared" si="10"/>
        <v/>
      </c>
      <c r="AD793" s="683" t="str">
        <f t="shared" si="11"/>
        <v/>
      </c>
      <c r="AE793" s="683" t="str">
        <f t="shared" si="12"/>
        <v/>
      </c>
      <c r="AF793" s="683" t="str">
        <f t="shared" si="13"/>
        <v/>
      </c>
      <c r="AG793" s="683" t="str">
        <f t="shared" si="14"/>
        <v/>
      </c>
      <c r="AH793" s="683" t="str">
        <f t="shared" si="15"/>
        <v/>
      </c>
      <c r="AI793" s="683" t="str">
        <f t="shared" si="16"/>
        <v/>
      </c>
      <c r="AJ793" s="683" t="str">
        <f t="shared" si="17"/>
        <v/>
      </c>
      <c r="AK793" s="683" t="str">
        <f t="shared" si="18"/>
        <v/>
      </c>
      <c r="AL793" s="683" t="str">
        <f t="shared" si="19"/>
        <v/>
      </c>
      <c r="AM793" s="683" t="str">
        <f t="shared" si="20"/>
        <v/>
      </c>
      <c r="AN793" s="683" t="str">
        <f t="shared" si="21"/>
        <v/>
      </c>
      <c r="AO793" s="683" t="str">
        <f t="shared" si="22"/>
        <v/>
      </c>
      <c r="AP793" s="683" t="str">
        <f t="shared" si="23"/>
        <v/>
      </c>
      <c r="AQ793" s="683" t="str">
        <f t="shared" si="24"/>
        <v/>
      </c>
      <c r="AR793" s="683" t="str">
        <f t="shared" si="25"/>
        <v/>
      </c>
      <c r="AS793" s="683" t="str">
        <f t="shared" si="26"/>
        <v/>
      </c>
      <c r="AT793" s="683" t="str">
        <f t="shared" si="27"/>
        <v/>
      </c>
      <c r="AU793" s="683" t="str">
        <f t="shared" si="28"/>
        <v/>
      </c>
      <c r="AV793" s="683" t="str">
        <f t="shared" si="29"/>
        <v/>
      </c>
      <c r="AW793" s="683" t="str">
        <f t="shared" si="30"/>
        <v/>
      </c>
      <c r="AX793" s="683" t="str">
        <f t="shared" si="31"/>
        <v/>
      </c>
      <c r="AY793" s="683" t="str">
        <f t="shared" si="32"/>
        <v/>
      </c>
      <c r="AZ793" s="683" t="str">
        <f t="shared" si="33"/>
        <v/>
      </c>
      <c r="BA793" s="683" t="str">
        <f t="shared" si="34"/>
        <v/>
      </c>
      <c r="BB793" s="683" t="str">
        <f t="shared" si="35"/>
        <v/>
      </c>
      <c r="BC793" s="683" t="str">
        <f t="shared" si="36"/>
        <v/>
      </c>
      <c r="BD793" s="683" t="str">
        <f t="shared" si="37"/>
        <v/>
      </c>
      <c r="BE793" s="683" t="str">
        <f t="shared" si="38"/>
        <v/>
      </c>
      <c r="BF793" s="683" t="str">
        <f t="shared" si="39"/>
        <v/>
      </c>
      <c r="BG793" s="683" t="str">
        <f t="shared" si="40"/>
        <v/>
      </c>
      <c r="BH793" s="683" t="str">
        <f t="shared" si="41"/>
        <v/>
      </c>
      <c r="BI793" s="683" t="str">
        <f t="shared" si="42"/>
        <v/>
      </c>
      <c r="BJ793" s="683" t="str">
        <f t="shared" si="43"/>
        <v/>
      </c>
      <c r="BK793" s="683" t="str">
        <f t="shared" si="44"/>
        <v/>
      </c>
      <c r="BL793" s="683" t="str">
        <f t="shared" si="45"/>
        <v/>
      </c>
      <c r="BM793" s="683" t="str">
        <f t="shared" si="46"/>
        <v/>
      </c>
      <c r="BN793" s="683" t="str">
        <f t="shared" si="47"/>
        <v/>
      </c>
      <c r="BO793" s="683" t="str">
        <f t="shared" si="48"/>
        <v/>
      </c>
      <c r="BP793" s="683" t="str">
        <f t="shared" si="49"/>
        <v/>
      </c>
      <c r="BQ793" s="683" t="str">
        <f t="shared" si="50"/>
        <v/>
      </c>
      <c r="BR793" s="683" t="str">
        <f t="shared" si="51"/>
        <v/>
      </c>
      <c r="BS793" s="683" t="str">
        <f t="shared" si="52"/>
        <v/>
      </c>
      <c r="BT793" s="683" t="str">
        <f t="shared" si="53"/>
        <v/>
      </c>
      <c r="BU793" s="683" t="str">
        <f t="shared" si="54"/>
        <v/>
      </c>
      <c r="BV793" s="683" t="str">
        <f t="shared" si="55"/>
        <v/>
      </c>
      <c r="BW793" s="683" t="str">
        <f t="shared" si="56"/>
        <v/>
      </c>
      <c r="BX793" s="683" t="str">
        <f t="shared" si="57"/>
        <v/>
      </c>
      <c r="BY793" s="683" t="str">
        <f t="shared" si="58"/>
        <v/>
      </c>
      <c r="BZ793" s="683" t="str">
        <f t="shared" si="59"/>
        <v/>
      </c>
      <c r="CA793" s="683" t="str">
        <f t="shared" si="60"/>
        <v/>
      </c>
      <c r="CB793" s="683" t="str">
        <f t="shared" si="61"/>
        <v/>
      </c>
      <c r="CC793" s="683" t="str">
        <f t="shared" si="62"/>
        <v/>
      </c>
      <c r="CD793" s="683" t="str">
        <f t="shared" si="63"/>
        <v/>
      </c>
      <c r="CE793" s="683" t="str">
        <f t="shared" si="64"/>
        <v/>
      </c>
      <c r="CF793" s="683" t="str">
        <f t="shared" si="65"/>
        <v/>
      </c>
      <c r="CG793" s="683" t="str">
        <f t="shared" si="66"/>
        <v/>
      </c>
      <c r="CH793" s="683" t="str">
        <f t="shared" si="67"/>
        <v/>
      </c>
      <c r="CI793" s="683" t="str">
        <f t="shared" si="68"/>
        <v/>
      </c>
      <c r="CJ793" s="683" t="str">
        <f t="shared" si="69"/>
        <v/>
      </c>
      <c r="CK793" s="683" t="str">
        <f t="shared" si="70"/>
        <v/>
      </c>
      <c r="CL793" s="683" t="str">
        <f t="shared" si="71"/>
        <v/>
      </c>
      <c r="CM793" s="683" t="str">
        <f t="shared" si="72"/>
        <v/>
      </c>
      <c r="CN793" s="683" t="str">
        <f t="shared" si="73"/>
        <v/>
      </c>
      <c r="CO793" s="683" t="str">
        <f t="shared" si="74"/>
        <v/>
      </c>
      <c r="CP793" s="683" t="str">
        <f t="shared" si="75"/>
        <v/>
      </c>
      <c r="CQ793" s="683" t="str">
        <f t="shared" si="76"/>
        <v/>
      </c>
      <c r="CR793" s="683" t="str">
        <f t="shared" si="77"/>
        <v/>
      </c>
      <c r="CS793" s="683" t="str">
        <f t="shared" si="78"/>
        <v/>
      </c>
      <c r="CT793" s="683" t="str">
        <f t="shared" si="79"/>
        <v/>
      </c>
      <c r="CU793" s="683" t="str">
        <f t="shared" si="80"/>
        <v/>
      </c>
      <c r="CV793" s="683" t="str">
        <f t="shared" si="81"/>
        <v/>
      </c>
      <c r="CW793" s="683" t="str">
        <f t="shared" si="82"/>
        <v/>
      </c>
      <c r="CX793" s="683" t="str">
        <f t="shared" si="83"/>
        <v/>
      </c>
      <c r="CY793" s="683" t="str">
        <f t="shared" si="84"/>
        <v/>
      </c>
      <c r="CZ793" s="683" t="str">
        <f t="shared" si="85"/>
        <v/>
      </c>
      <c r="DA793" s="683" t="str">
        <f t="shared" si="86"/>
        <v/>
      </c>
      <c r="DB793" s="683" t="str">
        <f t="shared" si="87"/>
        <v/>
      </c>
      <c r="DC793" s="683" t="str">
        <f t="shared" si="88"/>
        <v/>
      </c>
      <c r="DD793" s="683" t="str">
        <f t="shared" si="89"/>
        <v/>
      </c>
      <c r="DE793" s="683" t="str">
        <f t="shared" si="90"/>
        <v/>
      </c>
      <c r="DF793" s="683" t="str">
        <f t="shared" si="91"/>
        <v/>
      </c>
      <c r="DG793" s="683" t="str">
        <f t="shared" si="92"/>
        <v/>
      </c>
      <c r="DH793" s="683" t="str">
        <f t="shared" si="93"/>
        <v/>
      </c>
      <c r="DI793" s="683" t="str">
        <f t="shared" si="94"/>
        <v/>
      </c>
      <c r="DJ793" s="683" t="str">
        <f t="shared" si="95"/>
        <v/>
      </c>
      <c r="DK793" s="683" t="str">
        <f t="shared" si="96"/>
        <v/>
      </c>
      <c r="DL793" s="683" t="str">
        <f t="shared" si="97"/>
        <v/>
      </c>
      <c r="DM793" s="683" t="str">
        <f t="shared" si="98"/>
        <v/>
      </c>
      <c r="DN793" s="683" t="str">
        <f t="shared" si="99"/>
        <v/>
      </c>
      <c r="DO793" s="683" t="str">
        <f t="shared" si="100"/>
        <v/>
      </c>
      <c r="DP793" s="683" t="str">
        <f t="shared" si="101"/>
        <v/>
      </c>
      <c r="DQ793" s="683" t="str">
        <f t="shared" si="102"/>
        <v/>
      </c>
      <c r="DR793" s="683" t="str">
        <f t="shared" si="103"/>
        <v/>
      </c>
      <c r="DS793" s="683" t="str">
        <f t="shared" si="104"/>
        <v/>
      </c>
      <c r="DT793" s="683" t="str">
        <f t="shared" si="105"/>
        <v/>
      </c>
      <c r="DU793" s="683" t="str">
        <f t="shared" si="106"/>
        <v/>
      </c>
      <c r="DV793" s="683" t="str">
        <f t="shared" si="107"/>
        <v/>
      </c>
      <c r="DW793" s="683" t="str">
        <f t="shared" si="108"/>
        <v/>
      </c>
      <c r="DX793" s="683" t="str">
        <f t="shared" si="109"/>
        <v/>
      </c>
      <c r="DY793" s="683" t="str">
        <f t="shared" si="110"/>
        <v/>
      </c>
      <c r="DZ793" s="683" t="str">
        <f t="shared" si="111"/>
        <v/>
      </c>
      <c r="EA793" s="683" t="str">
        <f t="shared" si="112"/>
        <v/>
      </c>
      <c r="EB793" s="683" t="str">
        <f t="shared" si="113"/>
        <v/>
      </c>
      <c r="EC793" s="683" t="str">
        <f t="shared" si="114"/>
        <v/>
      </c>
      <c r="ED793" s="683" t="str">
        <f t="shared" si="115"/>
        <v/>
      </c>
      <c r="EE793" s="683" t="str">
        <f t="shared" si="116"/>
        <v/>
      </c>
      <c r="EF793" s="683" t="str">
        <f t="shared" si="117"/>
        <v/>
      </c>
      <c r="EG793" s="683" t="str">
        <f t="shared" si="118"/>
        <v/>
      </c>
      <c r="EH793" s="683" t="str">
        <f t="shared" si="119"/>
        <v/>
      </c>
      <c r="EI793" s="683" t="str">
        <f t="shared" si="120"/>
        <v/>
      </c>
      <c r="EJ793" s="683" t="str">
        <f t="shared" si="121"/>
        <v/>
      </c>
      <c r="EK793" s="683" t="str">
        <f t="shared" si="122"/>
        <v/>
      </c>
      <c r="EL793" s="683" t="str">
        <f t="shared" si="123"/>
        <v/>
      </c>
      <c r="EM793" s="683" t="str">
        <f t="shared" si="124"/>
        <v/>
      </c>
      <c r="EN793" s="683" t="str">
        <f t="shared" si="125"/>
        <v/>
      </c>
      <c r="EO793" s="683" t="str">
        <f t="shared" si="126"/>
        <v/>
      </c>
      <c r="EP793" s="683" t="str">
        <f t="shared" si="127"/>
        <v/>
      </c>
      <c r="EQ793" s="683" t="str">
        <f t="shared" si="128"/>
        <v/>
      </c>
      <c r="ER793" s="683" t="str">
        <f t="shared" si="129"/>
        <v/>
      </c>
      <c r="ES793" s="683" t="str">
        <f t="shared" si="130"/>
        <v/>
      </c>
      <c r="ET793" s="683" t="str">
        <f t="shared" si="131"/>
        <v/>
      </c>
      <c r="EU793" s="683" t="str">
        <f t="shared" si="132"/>
        <v/>
      </c>
      <c r="EV793" s="683" t="str">
        <f t="shared" si="133"/>
        <v/>
      </c>
      <c r="EW793" s="1854" t="str">
        <f t="shared" si="134"/>
        <v/>
      </c>
      <c r="EX793" s="1854" t="str">
        <f t="shared" si="135"/>
        <v/>
      </c>
      <c r="EY793" s="1854" t="str">
        <f t="shared" si="136"/>
        <v/>
      </c>
      <c r="EZ793" s="1854" t="str">
        <f t="shared" si="137"/>
        <v/>
      </c>
      <c r="FA793" s="1854" t="str">
        <f t="shared" si="138"/>
        <v/>
      </c>
      <c r="FB793" s="1854" t="str">
        <f t="shared" si="139"/>
        <v/>
      </c>
      <c r="FC793" s="1854" t="str">
        <f t="shared" si="140"/>
        <v/>
      </c>
      <c r="FD793" s="1854" t="str">
        <f t="shared" si="141"/>
        <v/>
      </c>
      <c r="FE793" s="1854" t="str">
        <f t="shared" si="142"/>
        <v/>
      </c>
      <c r="FF793" s="1854" t="str">
        <f t="shared" si="143"/>
        <v/>
      </c>
      <c r="FG793" s="1854" t="str">
        <f t="shared" si="144"/>
        <v/>
      </c>
      <c r="FH793" s="1854" t="str">
        <f t="shared" si="145"/>
        <v/>
      </c>
      <c r="FI793" s="1854" t="str">
        <f t="shared" si="146"/>
        <v/>
      </c>
      <c r="FJ793" s="1854" t="str">
        <f t="shared" si="147"/>
        <v/>
      </c>
      <c r="FK793" s="1854" t="str">
        <f t="shared" si="148"/>
        <v/>
      </c>
      <c r="FL793" s="1854" t="str">
        <f t="shared" si="149"/>
        <v/>
      </c>
      <c r="FM793" s="1854" t="str">
        <f t="shared" si="150"/>
        <v/>
      </c>
      <c r="FN793" s="1854" t="str">
        <f t="shared" si="151"/>
        <v/>
      </c>
      <c r="FO793" s="1854" t="str">
        <f t="shared" si="152"/>
        <v/>
      </c>
      <c r="FP793" s="1854" t="str">
        <f t="shared" si="153"/>
        <v/>
      </c>
      <c r="FQ793" s="1854" t="str">
        <f t="shared" si="154"/>
        <v/>
      </c>
      <c r="FR793" s="1854" t="str">
        <f t="shared" si="155"/>
        <v/>
      </c>
      <c r="FS793" s="1854" t="str">
        <f t="shared" si="156"/>
        <v/>
      </c>
      <c r="FT793" s="1854" t="str">
        <f t="shared" si="157"/>
        <v/>
      </c>
      <c r="FU793" s="1854" t="str">
        <f t="shared" si="158"/>
        <v/>
      </c>
      <c r="FV793" s="1854" t="str">
        <f t="shared" si="159"/>
        <v/>
      </c>
      <c r="FW793" s="1854" t="str">
        <f t="shared" si="160"/>
        <v/>
      </c>
      <c r="FX793" s="1854" t="str">
        <f t="shared" si="161"/>
        <v/>
      </c>
      <c r="FY793" s="1854" t="str">
        <f t="shared" si="162"/>
        <v/>
      </c>
      <c r="FZ793" s="1854" t="str">
        <f t="shared" si="163"/>
        <v/>
      </c>
      <c r="GA793" s="1854" t="str">
        <f t="shared" si="164"/>
        <v/>
      </c>
      <c r="GB793" s="1854" t="str">
        <f t="shared" si="165"/>
        <v/>
      </c>
      <c r="GC793" s="1854" t="str">
        <f t="shared" si="166"/>
        <v/>
      </c>
      <c r="GD793" s="1854" t="str">
        <f t="shared" si="167"/>
        <v/>
      </c>
      <c r="GE793" s="1854" t="str">
        <f t="shared" si="168"/>
        <v/>
      </c>
      <c r="GF793" s="1854" t="str">
        <f t="shared" si="169"/>
        <v/>
      </c>
      <c r="GG793" s="1854" t="str">
        <f t="shared" si="170"/>
        <v/>
      </c>
      <c r="GH793" s="1854" t="str">
        <f t="shared" si="171"/>
        <v/>
      </c>
      <c r="GI793" s="1854" t="str">
        <f t="shared" si="172"/>
        <v/>
      </c>
      <c r="GJ793" s="1854" t="str">
        <f t="shared" si="173"/>
        <v/>
      </c>
      <c r="GK793" s="1854" t="str">
        <f t="shared" si="174"/>
        <v/>
      </c>
      <c r="GL793" s="1854" t="str">
        <f t="shared" si="175"/>
        <v/>
      </c>
      <c r="GM793" s="1854" t="str">
        <f t="shared" si="176"/>
        <v/>
      </c>
      <c r="GN793" s="1854" t="str">
        <f t="shared" si="177"/>
        <v/>
      </c>
      <c r="GO793" s="1854" t="str">
        <f t="shared" si="178"/>
        <v/>
      </c>
      <c r="GP793" s="1854" t="str">
        <f t="shared" si="179"/>
        <v/>
      </c>
      <c r="GQ793" s="1854" t="str">
        <f t="shared" si="180"/>
        <v/>
      </c>
      <c r="GR793" s="1854" t="str">
        <f t="shared" si="181"/>
        <v/>
      </c>
      <c r="GS793" s="1854" t="str">
        <f t="shared" si="182"/>
        <v/>
      </c>
      <c r="GT793" s="1854" t="str">
        <f t="shared" si="183"/>
        <v/>
      </c>
      <c r="GU793" s="1854" t="str">
        <f t="shared" si="184"/>
        <v/>
      </c>
      <c r="GV793" s="1854" t="str">
        <f t="shared" si="185"/>
        <v/>
      </c>
      <c r="GW793" s="1854" t="str">
        <f t="shared" si="186"/>
        <v/>
      </c>
      <c r="GX793" s="1854" t="str">
        <f t="shared" si="187"/>
        <v/>
      </c>
      <c r="GY793" s="1854" t="str">
        <f t="shared" si="188"/>
        <v/>
      </c>
      <c r="GZ793" s="1854" t="str">
        <f t="shared" si="189"/>
        <v/>
      </c>
      <c r="HA793" s="1854" t="str">
        <f t="shared" si="190"/>
        <v/>
      </c>
      <c r="HB793" s="1854" t="str">
        <f t="shared" si="191"/>
        <v/>
      </c>
      <c r="HC793" s="1854" t="str">
        <f t="shared" si="192"/>
        <v/>
      </c>
      <c r="HD793" s="1854" t="str">
        <f t="shared" si="193"/>
        <v/>
      </c>
      <c r="HE793" s="1854" t="str">
        <f t="shared" si="194"/>
        <v/>
      </c>
      <c r="HF793" s="1854" t="str">
        <f t="shared" si="195"/>
        <v/>
      </c>
      <c r="HG793" s="1854" t="str">
        <f t="shared" si="196"/>
        <v/>
      </c>
      <c r="HH793" s="1854" t="str">
        <f t="shared" si="197"/>
        <v/>
      </c>
      <c r="HI793" s="1854" t="str">
        <f t="shared" si="198"/>
        <v/>
      </c>
      <c r="HJ793" s="1854" t="str">
        <f t="shared" si="199"/>
        <v/>
      </c>
      <c r="HK793" s="1854" t="str">
        <f t="shared" si="200"/>
        <v/>
      </c>
      <c r="HL793" s="1854" t="str">
        <f t="shared" si="201"/>
        <v/>
      </c>
      <c r="HM793" s="1854" t="str">
        <f t="shared" si="202"/>
        <v/>
      </c>
      <c r="HN793" s="1854" t="str">
        <f t="shared" si="203"/>
        <v/>
      </c>
      <c r="HO793" s="1854" t="str">
        <f t="shared" si="204"/>
        <v/>
      </c>
      <c r="HP793" s="1854" t="str">
        <f t="shared" si="205"/>
        <v/>
      </c>
      <c r="HQ793" s="1854" t="str">
        <f t="shared" si="206"/>
        <v/>
      </c>
      <c r="HR793" s="1854" t="str">
        <f t="shared" si="207"/>
        <v/>
      </c>
      <c r="HS793" s="1854" t="str">
        <f t="shared" si="208"/>
        <v/>
      </c>
      <c r="HT793" s="1854" t="str">
        <f t="shared" si="209"/>
        <v/>
      </c>
      <c r="HU793" s="1854" t="str">
        <f t="shared" si="210"/>
        <v/>
      </c>
      <c r="HV793" s="1854" t="str">
        <f t="shared" si="211"/>
        <v/>
      </c>
      <c r="HW793" s="1854" t="str">
        <f t="shared" si="212"/>
        <v/>
      </c>
      <c r="HX793" s="1854" t="str">
        <f t="shared" si="213"/>
        <v/>
      </c>
      <c r="HY793" s="1854" t="str">
        <f t="shared" si="214"/>
        <v/>
      </c>
      <c r="HZ793" s="1854" t="str">
        <f t="shared" si="215"/>
        <v/>
      </c>
      <c r="IA793" s="1854" t="str">
        <f t="shared" si="216"/>
        <v/>
      </c>
      <c r="IB793" s="1854" t="str">
        <f t="shared" si="217"/>
        <v/>
      </c>
      <c r="IC793" s="1854" t="str">
        <f t="shared" si="218"/>
        <v/>
      </c>
      <c r="ID793" s="1826" t="str">
        <f t="shared" si="219"/>
        <v/>
      </c>
      <c r="IE793" s="1826" t="str">
        <f t="shared" si="220"/>
        <v/>
      </c>
      <c r="IF793" s="1826" t="str">
        <f t="shared" si="221"/>
        <v/>
      </c>
      <c r="IG793" s="1826" t="str">
        <f t="shared" si="222"/>
        <v/>
      </c>
      <c r="IH793" s="1826" t="str">
        <f t="shared" si="223"/>
        <v/>
      </c>
      <c r="II793" s="683" t="str">
        <f t="shared" si="224"/>
        <v/>
      </c>
      <c r="IJ793" s="683" t="str">
        <f t="shared" si="225"/>
        <v/>
      </c>
      <c r="IK793" s="683" t="str">
        <f t="shared" si="226"/>
        <v/>
      </c>
      <c r="IL793" s="683" t="str">
        <f t="shared" si="227"/>
        <v/>
      </c>
      <c r="IM793" s="683" t="str">
        <f t="shared" si="228"/>
        <v/>
      </c>
      <c r="IN793" s="683" t="str">
        <f t="shared" si="229"/>
        <v/>
      </c>
      <c r="IO793" s="683" t="str">
        <f t="shared" si="230"/>
        <v/>
      </c>
      <c r="IP793" s="683" t="str">
        <f t="shared" si="231"/>
        <v/>
      </c>
      <c r="IQ793" s="683" t="str">
        <f t="shared" si="232"/>
        <v/>
      </c>
      <c r="IR793" s="683" t="str">
        <f t="shared" si="233"/>
        <v/>
      </c>
      <c r="IS793" s="683" t="str">
        <f t="shared" si="234"/>
        <v/>
      </c>
      <c r="IT793" s="683" t="str">
        <f t="shared" si="235"/>
        <v/>
      </c>
      <c r="IU793" s="683" t="str">
        <f t="shared" si="236"/>
        <v/>
      </c>
      <c r="IV793" s="683" t="str">
        <f t="shared" si="237"/>
        <v/>
      </c>
      <c r="IW793" s="683" t="str">
        <f t="shared" si="238"/>
        <v/>
      </c>
      <c r="IX793" s="683" t="str">
        <f t="shared" si="239"/>
        <v/>
      </c>
      <c r="IY793" s="683" t="str">
        <f t="shared" si="240"/>
        <v/>
      </c>
      <c r="IZ793" s="683" t="str">
        <f t="shared" si="241"/>
        <v/>
      </c>
      <c r="JA793" s="683" t="str">
        <f t="shared" si="242"/>
        <v/>
      </c>
      <c r="JB793" s="683" t="str">
        <f t="shared" si="243"/>
        <v/>
      </c>
      <c r="JC793" s="1824">
        <f t="shared" si="244"/>
        <v>0</v>
      </c>
      <c r="JD793" s="1824">
        <f t="shared" si="245"/>
        <v>0</v>
      </c>
      <c r="JE793" s="1824">
        <f t="shared" si="246"/>
        <v>0</v>
      </c>
      <c r="JF793" s="1824">
        <f t="shared" si="247"/>
        <v>0</v>
      </c>
      <c r="JG793" s="1824">
        <f t="shared" si="248"/>
        <v>0</v>
      </c>
      <c r="JH793" s="1824">
        <f t="shared" si="249"/>
        <v>0</v>
      </c>
      <c r="JI793" s="1824">
        <f t="shared" si="250"/>
        <v>0</v>
      </c>
      <c r="JJ793" s="1824">
        <f t="shared" si="251"/>
        <v>0</v>
      </c>
      <c r="JK793" s="1824">
        <f t="shared" si="252"/>
        <v>0</v>
      </c>
      <c r="JL793" s="1824">
        <f t="shared" si="253"/>
        <v>0</v>
      </c>
      <c r="JM793" s="1824">
        <f t="shared" si="254"/>
        <v>0</v>
      </c>
      <c r="JN793" s="1824">
        <f t="shared" si="255"/>
        <v>0</v>
      </c>
      <c r="JO793" s="1824">
        <f t="shared" si="256"/>
        <v>0</v>
      </c>
      <c r="JP793" s="1824">
        <f t="shared" si="257"/>
        <v>0</v>
      </c>
      <c r="JQ793" s="1824">
        <f t="shared" si="258"/>
        <v>0</v>
      </c>
    </row>
    <row r="794" spans="1:277" ht="12" customHeight="1">
      <c r="A794" s="1837" t="str">
        <f t="shared" si="1"/>
        <v/>
      </c>
      <c r="B794" s="1846" t="str">
        <f>'Part VI-Revenues &amp; Expenses'!B37</f>
        <v>&lt;&lt;Select&gt;&gt;</v>
      </c>
      <c r="C794" s="1847">
        <f>'Part VI-Revenues &amp; Expenses'!C37</f>
        <v>0</v>
      </c>
      <c r="D794" s="1848">
        <f>'Part VI-Revenues &amp; Expenses'!D37</f>
        <v>0</v>
      </c>
      <c r="E794" s="1849">
        <f>'Part VI-Revenues &amp; Expenses'!E37</f>
        <v>0</v>
      </c>
      <c r="F794" s="1849">
        <f>'Part VI-Revenues &amp; Expenses'!F37</f>
        <v>0</v>
      </c>
      <c r="G794" s="1849">
        <f>'Part VI-Revenues &amp; Expenses'!G37</f>
        <v>0</v>
      </c>
      <c r="H794" s="1849">
        <f>'Part VI-Revenues &amp; Expenses'!H37</f>
        <v>0</v>
      </c>
      <c r="I794" s="1849">
        <f>'Part VI-Revenues &amp; Expenses'!I37</f>
        <v>0</v>
      </c>
      <c r="J794" s="1850">
        <f>'Part VI-Revenues &amp; Expenses'!J37</f>
        <v>0</v>
      </c>
      <c r="K794" s="1851">
        <f t="shared" si="2"/>
        <v>0</v>
      </c>
      <c r="L794" s="1851">
        <f t="shared" si="3"/>
        <v>0</v>
      </c>
      <c r="M794" s="1725">
        <f>'Part VI-Revenues &amp; Expenses'!M37</f>
        <v>0</v>
      </c>
      <c r="N794" s="1725">
        <f>'Part VI-Revenues &amp; Expenses'!N37</f>
        <v>0</v>
      </c>
      <c r="O794" s="1725">
        <f>'Part VI-Revenues &amp; Expenses'!O37</f>
        <v>0</v>
      </c>
      <c r="P794" s="1831">
        <f>'Part VI-Revenues &amp; Expenses'!P37</f>
        <v>0</v>
      </c>
      <c r="Q794" s="1852" t="str">
        <f>'Part VI-Revenues &amp; Expenses'!Q37</f>
        <v/>
      </c>
      <c r="R794" s="1853" t="str">
        <f>'Part VI-Revenues &amp; Expenses'!R37</f>
        <v/>
      </c>
      <c r="S794" s="1852">
        <f>'Part VI-Revenues &amp; Expenses'!S37</f>
        <v>0</v>
      </c>
      <c r="T794" s="1853">
        <f>'Part VI-Revenues &amp; Expenses'!T37</f>
        <v>0</v>
      </c>
      <c r="U794" s="1775"/>
      <c r="V794" s="1775"/>
      <c r="W794" s="683" t="str">
        <f t="shared" si="4"/>
        <v/>
      </c>
      <c r="X794" s="683" t="str">
        <f t="shared" si="5"/>
        <v/>
      </c>
      <c r="Y794" s="683" t="str">
        <f t="shared" si="6"/>
        <v/>
      </c>
      <c r="Z794" s="683" t="str">
        <f t="shared" si="7"/>
        <v/>
      </c>
      <c r="AA794" s="683" t="str">
        <f t="shared" si="8"/>
        <v/>
      </c>
      <c r="AB794" s="683" t="str">
        <f t="shared" si="9"/>
        <v/>
      </c>
      <c r="AC794" s="683" t="str">
        <f t="shared" si="10"/>
        <v/>
      </c>
      <c r="AD794" s="683" t="str">
        <f t="shared" si="11"/>
        <v/>
      </c>
      <c r="AE794" s="683" t="str">
        <f t="shared" si="12"/>
        <v/>
      </c>
      <c r="AF794" s="683" t="str">
        <f t="shared" si="13"/>
        <v/>
      </c>
      <c r="AG794" s="683" t="str">
        <f t="shared" si="14"/>
        <v/>
      </c>
      <c r="AH794" s="683" t="str">
        <f t="shared" si="15"/>
        <v/>
      </c>
      <c r="AI794" s="683" t="str">
        <f t="shared" si="16"/>
        <v/>
      </c>
      <c r="AJ794" s="683" t="str">
        <f t="shared" si="17"/>
        <v/>
      </c>
      <c r="AK794" s="683" t="str">
        <f t="shared" si="18"/>
        <v/>
      </c>
      <c r="AL794" s="683" t="str">
        <f t="shared" si="19"/>
        <v/>
      </c>
      <c r="AM794" s="683" t="str">
        <f t="shared" si="20"/>
        <v/>
      </c>
      <c r="AN794" s="683" t="str">
        <f t="shared" si="21"/>
        <v/>
      </c>
      <c r="AO794" s="683" t="str">
        <f t="shared" si="22"/>
        <v/>
      </c>
      <c r="AP794" s="683" t="str">
        <f t="shared" si="23"/>
        <v/>
      </c>
      <c r="AQ794" s="683" t="str">
        <f t="shared" si="24"/>
        <v/>
      </c>
      <c r="AR794" s="683" t="str">
        <f t="shared" si="25"/>
        <v/>
      </c>
      <c r="AS794" s="683" t="str">
        <f t="shared" si="26"/>
        <v/>
      </c>
      <c r="AT794" s="683" t="str">
        <f t="shared" si="27"/>
        <v/>
      </c>
      <c r="AU794" s="683" t="str">
        <f t="shared" si="28"/>
        <v/>
      </c>
      <c r="AV794" s="683" t="str">
        <f t="shared" si="29"/>
        <v/>
      </c>
      <c r="AW794" s="683" t="str">
        <f t="shared" si="30"/>
        <v/>
      </c>
      <c r="AX794" s="683" t="str">
        <f t="shared" si="31"/>
        <v/>
      </c>
      <c r="AY794" s="683" t="str">
        <f t="shared" si="32"/>
        <v/>
      </c>
      <c r="AZ794" s="683" t="str">
        <f t="shared" si="33"/>
        <v/>
      </c>
      <c r="BA794" s="683" t="str">
        <f t="shared" si="34"/>
        <v/>
      </c>
      <c r="BB794" s="683" t="str">
        <f t="shared" si="35"/>
        <v/>
      </c>
      <c r="BC794" s="683" t="str">
        <f t="shared" si="36"/>
        <v/>
      </c>
      <c r="BD794" s="683" t="str">
        <f t="shared" si="37"/>
        <v/>
      </c>
      <c r="BE794" s="683" t="str">
        <f t="shared" si="38"/>
        <v/>
      </c>
      <c r="BF794" s="683" t="str">
        <f t="shared" si="39"/>
        <v/>
      </c>
      <c r="BG794" s="683" t="str">
        <f t="shared" si="40"/>
        <v/>
      </c>
      <c r="BH794" s="683" t="str">
        <f t="shared" si="41"/>
        <v/>
      </c>
      <c r="BI794" s="683" t="str">
        <f t="shared" si="42"/>
        <v/>
      </c>
      <c r="BJ794" s="683" t="str">
        <f t="shared" si="43"/>
        <v/>
      </c>
      <c r="BK794" s="683" t="str">
        <f t="shared" si="44"/>
        <v/>
      </c>
      <c r="BL794" s="683" t="str">
        <f t="shared" si="45"/>
        <v/>
      </c>
      <c r="BM794" s="683" t="str">
        <f t="shared" si="46"/>
        <v/>
      </c>
      <c r="BN794" s="683" t="str">
        <f t="shared" si="47"/>
        <v/>
      </c>
      <c r="BO794" s="683" t="str">
        <f t="shared" si="48"/>
        <v/>
      </c>
      <c r="BP794" s="683" t="str">
        <f t="shared" si="49"/>
        <v/>
      </c>
      <c r="BQ794" s="683" t="str">
        <f t="shared" si="50"/>
        <v/>
      </c>
      <c r="BR794" s="683" t="str">
        <f t="shared" si="51"/>
        <v/>
      </c>
      <c r="BS794" s="683" t="str">
        <f t="shared" si="52"/>
        <v/>
      </c>
      <c r="BT794" s="683" t="str">
        <f t="shared" si="53"/>
        <v/>
      </c>
      <c r="BU794" s="683" t="str">
        <f t="shared" si="54"/>
        <v/>
      </c>
      <c r="BV794" s="683" t="str">
        <f t="shared" si="55"/>
        <v/>
      </c>
      <c r="BW794" s="683" t="str">
        <f t="shared" si="56"/>
        <v/>
      </c>
      <c r="BX794" s="683" t="str">
        <f t="shared" si="57"/>
        <v/>
      </c>
      <c r="BY794" s="683" t="str">
        <f t="shared" si="58"/>
        <v/>
      </c>
      <c r="BZ794" s="683" t="str">
        <f t="shared" si="59"/>
        <v/>
      </c>
      <c r="CA794" s="683" t="str">
        <f t="shared" si="60"/>
        <v/>
      </c>
      <c r="CB794" s="683" t="str">
        <f t="shared" si="61"/>
        <v/>
      </c>
      <c r="CC794" s="683" t="str">
        <f t="shared" si="62"/>
        <v/>
      </c>
      <c r="CD794" s="683" t="str">
        <f t="shared" si="63"/>
        <v/>
      </c>
      <c r="CE794" s="683" t="str">
        <f t="shared" si="64"/>
        <v/>
      </c>
      <c r="CF794" s="683" t="str">
        <f t="shared" si="65"/>
        <v/>
      </c>
      <c r="CG794" s="683" t="str">
        <f t="shared" si="66"/>
        <v/>
      </c>
      <c r="CH794" s="683" t="str">
        <f t="shared" si="67"/>
        <v/>
      </c>
      <c r="CI794" s="683" t="str">
        <f t="shared" si="68"/>
        <v/>
      </c>
      <c r="CJ794" s="683" t="str">
        <f t="shared" si="69"/>
        <v/>
      </c>
      <c r="CK794" s="683" t="str">
        <f t="shared" si="70"/>
        <v/>
      </c>
      <c r="CL794" s="683" t="str">
        <f t="shared" si="71"/>
        <v/>
      </c>
      <c r="CM794" s="683" t="str">
        <f t="shared" si="72"/>
        <v/>
      </c>
      <c r="CN794" s="683" t="str">
        <f t="shared" si="73"/>
        <v/>
      </c>
      <c r="CO794" s="683" t="str">
        <f t="shared" si="74"/>
        <v/>
      </c>
      <c r="CP794" s="683" t="str">
        <f t="shared" si="75"/>
        <v/>
      </c>
      <c r="CQ794" s="683" t="str">
        <f t="shared" si="76"/>
        <v/>
      </c>
      <c r="CR794" s="683" t="str">
        <f t="shared" si="77"/>
        <v/>
      </c>
      <c r="CS794" s="683" t="str">
        <f t="shared" si="78"/>
        <v/>
      </c>
      <c r="CT794" s="683" t="str">
        <f t="shared" si="79"/>
        <v/>
      </c>
      <c r="CU794" s="683" t="str">
        <f t="shared" si="80"/>
        <v/>
      </c>
      <c r="CV794" s="683" t="str">
        <f t="shared" si="81"/>
        <v/>
      </c>
      <c r="CW794" s="683" t="str">
        <f t="shared" si="82"/>
        <v/>
      </c>
      <c r="CX794" s="683" t="str">
        <f t="shared" si="83"/>
        <v/>
      </c>
      <c r="CY794" s="683" t="str">
        <f t="shared" si="84"/>
        <v/>
      </c>
      <c r="CZ794" s="683" t="str">
        <f t="shared" si="85"/>
        <v/>
      </c>
      <c r="DA794" s="683" t="str">
        <f t="shared" si="86"/>
        <v/>
      </c>
      <c r="DB794" s="683" t="str">
        <f t="shared" si="87"/>
        <v/>
      </c>
      <c r="DC794" s="683" t="str">
        <f t="shared" si="88"/>
        <v/>
      </c>
      <c r="DD794" s="683" t="str">
        <f t="shared" si="89"/>
        <v/>
      </c>
      <c r="DE794" s="683" t="str">
        <f t="shared" si="90"/>
        <v/>
      </c>
      <c r="DF794" s="683" t="str">
        <f t="shared" si="91"/>
        <v/>
      </c>
      <c r="DG794" s="683" t="str">
        <f t="shared" si="92"/>
        <v/>
      </c>
      <c r="DH794" s="683" t="str">
        <f t="shared" si="93"/>
        <v/>
      </c>
      <c r="DI794" s="683" t="str">
        <f t="shared" si="94"/>
        <v/>
      </c>
      <c r="DJ794" s="683" t="str">
        <f t="shared" si="95"/>
        <v/>
      </c>
      <c r="DK794" s="683" t="str">
        <f t="shared" si="96"/>
        <v/>
      </c>
      <c r="DL794" s="683" t="str">
        <f t="shared" si="97"/>
        <v/>
      </c>
      <c r="DM794" s="683" t="str">
        <f t="shared" si="98"/>
        <v/>
      </c>
      <c r="DN794" s="683" t="str">
        <f t="shared" si="99"/>
        <v/>
      </c>
      <c r="DO794" s="683" t="str">
        <f t="shared" si="100"/>
        <v/>
      </c>
      <c r="DP794" s="683" t="str">
        <f t="shared" si="101"/>
        <v/>
      </c>
      <c r="DQ794" s="683" t="str">
        <f t="shared" si="102"/>
        <v/>
      </c>
      <c r="DR794" s="683" t="str">
        <f t="shared" si="103"/>
        <v/>
      </c>
      <c r="DS794" s="683" t="str">
        <f t="shared" si="104"/>
        <v/>
      </c>
      <c r="DT794" s="683" t="str">
        <f t="shared" si="105"/>
        <v/>
      </c>
      <c r="DU794" s="683" t="str">
        <f t="shared" si="106"/>
        <v/>
      </c>
      <c r="DV794" s="683" t="str">
        <f t="shared" si="107"/>
        <v/>
      </c>
      <c r="DW794" s="683" t="str">
        <f t="shared" si="108"/>
        <v/>
      </c>
      <c r="DX794" s="683" t="str">
        <f t="shared" si="109"/>
        <v/>
      </c>
      <c r="DY794" s="683" t="str">
        <f t="shared" si="110"/>
        <v/>
      </c>
      <c r="DZ794" s="683" t="str">
        <f t="shared" si="111"/>
        <v/>
      </c>
      <c r="EA794" s="683" t="str">
        <f t="shared" si="112"/>
        <v/>
      </c>
      <c r="EB794" s="683" t="str">
        <f t="shared" si="113"/>
        <v/>
      </c>
      <c r="EC794" s="683" t="str">
        <f t="shared" si="114"/>
        <v/>
      </c>
      <c r="ED794" s="683" t="str">
        <f t="shared" si="115"/>
        <v/>
      </c>
      <c r="EE794" s="683" t="str">
        <f t="shared" si="116"/>
        <v/>
      </c>
      <c r="EF794" s="683" t="str">
        <f t="shared" si="117"/>
        <v/>
      </c>
      <c r="EG794" s="683" t="str">
        <f t="shared" si="118"/>
        <v/>
      </c>
      <c r="EH794" s="683" t="str">
        <f t="shared" si="119"/>
        <v/>
      </c>
      <c r="EI794" s="683" t="str">
        <f t="shared" si="120"/>
        <v/>
      </c>
      <c r="EJ794" s="683" t="str">
        <f t="shared" si="121"/>
        <v/>
      </c>
      <c r="EK794" s="683" t="str">
        <f t="shared" si="122"/>
        <v/>
      </c>
      <c r="EL794" s="683" t="str">
        <f t="shared" si="123"/>
        <v/>
      </c>
      <c r="EM794" s="683" t="str">
        <f t="shared" si="124"/>
        <v/>
      </c>
      <c r="EN794" s="683" t="str">
        <f t="shared" si="125"/>
        <v/>
      </c>
      <c r="EO794" s="683" t="str">
        <f t="shared" si="126"/>
        <v/>
      </c>
      <c r="EP794" s="683" t="str">
        <f t="shared" si="127"/>
        <v/>
      </c>
      <c r="EQ794" s="683" t="str">
        <f t="shared" si="128"/>
        <v/>
      </c>
      <c r="ER794" s="683" t="str">
        <f t="shared" si="129"/>
        <v/>
      </c>
      <c r="ES794" s="683" t="str">
        <f t="shared" si="130"/>
        <v/>
      </c>
      <c r="ET794" s="683" t="str">
        <f t="shared" si="131"/>
        <v/>
      </c>
      <c r="EU794" s="683" t="str">
        <f t="shared" si="132"/>
        <v/>
      </c>
      <c r="EV794" s="683" t="str">
        <f t="shared" si="133"/>
        <v/>
      </c>
      <c r="EW794" s="1854" t="str">
        <f t="shared" si="134"/>
        <v/>
      </c>
      <c r="EX794" s="1854" t="str">
        <f t="shared" si="135"/>
        <v/>
      </c>
      <c r="EY794" s="1854" t="str">
        <f t="shared" si="136"/>
        <v/>
      </c>
      <c r="EZ794" s="1854" t="str">
        <f t="shared" si="137"/>
        <v/>
      </c>
      <c r="FA794" s="1854" t="str">
        <f t="shared" si="138"/>
        <v/>
      </c>
      <c r="FB794" s="1854" t="str">
        <f t="shared" si="139"/>
        <v/>
      </c>
      <c r="FC794" s="1854" t="str">
        <f t="shared" si="140"/>
        <v/>
      </c>
      <c r="FD794" s="1854" t="str">
        <f t="shared" si="141"/>
        <v/>
      </c>
      <c r="FE794" s="1854" t="str">
        <f t="shared" si="142"/>
        <v/>
      </c>
      <c r="FF794" s="1854" t="str">
        <f t="shared" si="143"/>
        <v/>
      </c>
      <c r="FG794" s="1854" t="str">
        <f t="shared" si="144"/>
        <v/>
      </c>
      <c r="FH794" s="1854" t="str">
        <f t="shared" si="145"/>
        <v/>
      </c>
      <c r="FI794" s="1854" t="str">
        <f t="shared" si="146"/>
        <v/>
      </c>
      <c r="FJ794" s="1854" t="str">
        <f t="shared" si="147"/>
        <v/>
      </c>
      <c r="FK794" s="1854" t="str">
        <f t="shared" si="148"/>
        <v/>
      </c>
      <c r="FL794" s="1854" t="str">
        <f t="shared" si="149"/>
        <v/>
      </c>
      <c r="FM794" s="1854" t="str">
        <f t="shared" si="150"/>
        <v/>
      </c>
      <c r="FN794" s="1854" t="str">
        <f t="shared" si="151"/>
        <v/>
      </c>
      <c r="FO794" s="1854" t="str">
        <f t="shared" si="152"/>
        <v/>
      </c>
      <c r="FP794" s="1854" t="str">
        <f t="shared" si="153"/>
        <v/>
      </c>
      <c r="FQ794" s="1854" t="str">
        <f t="shared" si="154"/>
        <v/>
      </c>
      <c r="FR794" s="1854" t="str">
        <f t="shared" si="155"/>
        <v/>
      </c>
      <c r="FS794" s="1854" t="str">
        <f t="shared" si="156"/>
        <v/>
      </c>
      <c r="FT794" s="1854" t="str">
        <f t="shared" si="157"/>
        <v/>
      </c>
      <c r="FU794" s="1854" t="str">
        <f t="shared" si="158"/>
        <v/>
      </c>
      <c r="FV794" s="1854" t="str">
        <f t="shared" si="159"/>
        <v/>
      </c>
      <c r="FW794" s="1854" t="str">
        <f t="shared" si="160"/>
        <v/>
      </c>
      <c r="FX794" s="1854" t="str">
        <f t="shared" si="161"/>
        <v/>
      </c>
      <c r="FY794" s="1854" t="str">
        <f t="shared" si="162"/>
        <v/>
      </c>
      <c r="FZ794" s="1854" t="str">
        <f t="shared" si="163"/>
        <v/>
      </c>
      <c r="GA794" s="1854" t="str">
        <f t="shared" si="164"/>
        <v/>
      </c>
      <c r="GB794" s="1854" t="str">
        <f t="shared" si="165"/>
        <v/>
      </c>
      <c r="GC794" s="1854" t="str">
        <f t="shared" si="166"/>
        <v/>
      </c>
      <c r="GD794" s="1854" t="str">
        <f t="shared" si="167"/>
        <v/>
      </c>
      <c r="GE794" s="1854" t="str">
        <f t="shared" si="168"/>
        <v/>
      </c>
      <c r="GF794" s="1854" t="str">
        <f t="shared" si="169"/>
        <v/>
      </c>
      <c r="GG794" s="1854" t="str">
        <f t="shared" si="170"/>
        <v/>
      </c>
      <c r="GH794" s="1854" t="str">
        <f t="shared" si="171"/>
        <v/>
      </c>
      <c r="GI794" s="1854" t="str">
        <f t="shared" si="172"/>
        <v/>
      </c>
      <c r="GJ794" s="1854" t="str">
        <f t="shared" si="173"/>
        <v/>
      </c>
      <c r="GK794" s="1854" t="str">
        <f t="shared" si="174"/>
        <v/>
      </c>
      <c r="GL794" s="1854" t="str">
        <f t="shared" si="175"/>
        <v/>
      </c>
      <c r="GM794" s="1854" t="str">
        <f t="shared" si="176"/>
        <v/>
      </c>
      <c r="GN794" s="1854" t="str">
        <f t="shared" si="177"/>
        <v/>
      </c>
      <c r="GO794" s="1854" t="str">
        <f t="shared" si="178"/>
        <v/>
      </c>
      <c r="GP794" s="1854" t="str">
        <f t="shared" si="179"/>
        <v/>
      </c>
      <c r="GQ794" s="1854" t="str">
        <f t="shared" si="180"/>
        <v/>
      </c>
      <c r="GR794" s="1854" t="str">
        <f t="shared" si="181"/>
        <v/>
      </c>
      <c r="GS794" s="1854" t="str">
        <f t="shared" si="182"/>
        <v/>
      </c>
      <c r="GT794" s="1854" t="str">
        <f t="shared" si="183"/>
        <v/>
      </c>
      <c r="GU794" s="1854" t="str">
        <f t="shared" si="184"/>
        <v/>
      </c>
      <c r="GV794" s="1854" t="str">
        <f t="shared" si="185"/>
        <v/>
      </c>
      <c r="GW794" s="1854" t="str">
        <f t="shared" si="186"/>
        <v/>
      </c>
      <c r="GX794" s="1854" t="str">
        <f t="shared" si="187"/>
        <v/>
      </c>
      <c r="GY794" s="1854" t="str">
        <f t="shared" si="188"/>
        <v/>
      </c>
      <c r="GZ794" s="1854" t="str">
        <f t="shared" si="189"/>
        <v/>
      </c>
      <c r="HA794" s="1854" t="str">
        <f t="shared" si="190"/>
        <v/>
      </c>
      <c r="HB794" s="1854" t="str">
        <f t="shared" si="191"/>
        <v/>
      </c>
      <c r="HC794" s="1854" t="str">
        <f t="shared" si="192"/>
        <v/>
      </c>
      <c r="HD794" s="1854" t="str">
        <f t="shared" si="193"/>
        <v/>
      </c>
      <c r="HE794" s="1854" t="str">
        <f t="shared" si="194"/>
        <v/>
      </c>
      <c r="HF794" s="1854" t="str">
        <f t="shared" si="195"/>
        <v/>
      </c>
      <c r="HG794" s="1854" t="str">
        <f t="shared" si="196"/>
        <v/>
      </c>
      <c r="HH794" s="1854" t="str">
        <f t="shared" si="197"/>
        <v/>
      </c>
      <c r="HI794" s="1854" t="str">
        <f t="shared" si="198"/>
        <v/>
      </c>
      <c r="HJ794" s="1854" t="str">
        <f t="shared" si="199"/>
        <v/>
      </c>
      <c r="HK794" s="1854" t="str">
        <f t="shared" si="200"/>
        <v/>
      </c>
      <c r="HL794" s="1854" t="str">
        <f t="shared" si="201"/>
        <v/>
      </c>
      <c r="HM794" s="1854" t="str">
        <f t="shared" si="202"/>
        <v/>
      </c>
      <c r="HN794" s="1854" t="str">
        <f t="shared" si="203"/>
        <v/>
      </c>
      <c r="HO794" s="1854" t="str">
        <f t="shared" si="204"/>
        <v/>
      </c>
      <c r="HP794" s="1854" t="str">
        <f t="shared" si="205"/>
        <v/>
      </c>
      <c r="HQ794" s="1854" t="str">
        <f t="shared" si="206"/>
        <v/>
      </c>
      <c r="HR794" s="1854" t="str">
        <f t="shared" si="207"/>
        <v/>
      </c>
      <c r="HS794" s="1854" t="str">
        <f t="shared" si="208"/>
        <v/>
      </c>
      <c r="HT794" s="1854" t="str">
        <f t="shared" si="209"/>
        <v/>
      </c>
      <c r="HU794" s="1854" t="str">
        <f t="shared" si="210"/>
        <v/>
      </c>
      <c r="HV794" s="1854" t="str">
        <f t="shared" si="211"/>
        <v/>
      </c>
      <c r="HW794" s="1854" t="str">
        <f t="shared" si="212"/>
        <v/>
      </c>
      <c r="HX794" s="1854" t="str">
        <f t="shared" si="213"/>
        <v/>
      </c>
      <c r="HY794" s="1854" t="str">
        <f t="shared" si="214"/>
        <v/>
      </c>
      <c r="HZ794" s="1854" t="str">
        <f t="shared" si="215"/>
        <v/>
      </c>
      <c r="IA794" s="1854" t="str">
        <f t="shared" si="216"/>
        <v/>
      </c>
      <c r="IB794" s="1854" t="str">
        <f t="shared" si="217"/>
        <v/>
      </c>
      <c r="IC794" s="1854" t="str">
        <f t="shared" si="218"/>
        <v/>
      </c>
      <c r="ID794" s="1826" t="str">
        <f t="shared" si="219"/>
        <v/>
      </c>
      <c r="IE794" s="1826" t="str">
        <f t="shared" si="220"/>
        <v/>
      </c>
      <c r="IF794" s="1826" t="str">
        <f t="shared" si="221"/>
        <v/>
      </c>
      <c r="IG794" s="1826" t="str">
        <f t="shared" si="222"/>
        <v/>
      </c>
      <c r="IH794" s="1826" t="str">
        <f t="shared" si="223"/>
        <v/>
      </c>
      <c r="II794" s="683" t="str">
        <f t="shared" si="224"/>
        <v/>
      </c>
      <c r="IJ794" s="683" t="str">
        <f t="shared" si="225"/>
        <v/>
      </c>
      <c r="IK794" s="683" t="str">
        <f t="shared" si="226"/>
        <v/>
      </c>
      <c r="IL794" s="683" t="str">
        <f t="shared" si="227"/>
        <v/>
      </c>
      <c r="IM794" s="683" t="str">
        <f t="shared" si="228"/>
        <v/>
      </c>
      <c r="IN794" s="683" t="str">
        <f t="shared" si="229"/>
        <v/>
      </c>
      <c r="IO794" s="683" t="str">
        <f t="shared" si="230"/>
        <v/>
      </c>
      <c r="IP794" s="683" t="str">
        <f t="shared" si="231"/>
        <v/>
      </c>
      <c r="IQ794" s="683" t="str">
        <f t="shared" si="232"/>
        <v/>
      </c>
      <c r="IR794" s="683" t="str">
        <f t="shared" si="233"/>
        <v/>
      </c>
      <c r="IS794" s="683" t="str">
        <f t="shared" si="234"/>
        <v/>
      </c>
      <c r="IT794" s="683" t="str">
        <f t="shared" si="235"/>
        <v/>
      </c>
      <c r="IU794" s="683" t="str">
        <f t="shared" si="236"/>
        <v/>
      </c>
      <c r="IV794" s="683" t="str">
        <f t="shared" si="237"/>
        <v/>
      </c>
      <c r="IW794" s="683" t="str">
        <f t="shared" si="238"/>
        <v/>
      </c>
      <c r="IX794" s="683" t="str">
        <f t="shared" si="239"/>
        <v/>
      </c>
      <c r="IY794" s="683" t="str">
        <f t="shared" si="240"/>
        <v/>
      </c>
      <c r="IZ794" s="683" t="str">
        <f t="shared" si="241"/>
        <v/>
      </c>
      <c r="JA794" s="683" t="str">
        <f t="shared" si="242"/>
        <v/>
      </c>
      <c r="JB794" s="683" t="str">
        <f t="shared" si="243"/>
        <v/>
      </c>
      <c r="JC794" s="1824">
        <f t="shared" si="244"/>
        <v>0</v>
      </c>
      <c r="JD794" s="1824">
        <f t="shared" si="245"/>
        <v>0</v>
      </c>
      <c r="JE794" s="1824">
        <f t="shared" si="246"/>
        <v>0</v>
      </c>
      <c r="JF794" s="1824">
        <f t="shared" si="247"/>
        <v>0</v>
      </c>
      <c r="JG794" s="1824">
        <f t="shared" si="248"/>
        <v>0</v>
      </c>
      <c r="JH794" s="1824">
        <f t="shared" si="249"/>
        <v>0</v>
      </c>
      <c r="JI794" s="1824">
        <f t="shared" si="250"/>
        <v>0</v>
      </c>
      <c r="JJ794" s="1824">
        <f t="shared" si="251"/>
        <v>0</v>
      </c>
      <c r="JK794" s="1824">
        <f t="shared" si="252"/>
        <v>0</v>
      </c>
      <c r="JL794" s="1824">
        <f t="shared" si="253"/>
        <v>0</v>
      </c>
      <c r="JM794" s="1824">
        <f t="shared" si="254"/>
        <v>0</v>
      </c>
      <c r="JN794" s="1824">
        <f t="shared" si="255"/>
        <v>0</v>
      </c>
      <c r="JO794" s="1824">
        <f t="shared" si="256"/>
        <v>0</v>
      </c>
      <c r="JP794" s="1824">
        <f t="shared" si="257"/>
        <v>0</v>
      </c>
      <c r="JQ794" s="1824">
        <f t="shared" si="258"/>
        <v>0</v>
      </c>
    </row>
    <row r="795" spans="1:277" ht="12" customHeight="1">
      <c r="A795" s="1837" t="str">
        <f t="shared" si="1"/>
        <v/>
      </c>
      <c r="B795" s="1846" t="str">
        <f>'Part VI-Revenues &amp; Expenses'!B38</f>
        <v>&lt;&lt;Select&gt;&gt;</v>
      </c>
      <c r="C795" s="1847">
        <f>'Part VI-Revenues &amp; Expenses'!C38</f>
        <v>0</v>
      </c>
      <c r="D795" s="1848">
        <f>'Part VI-Revenues &amp; Expenses'!D38</f>
        <v>0</v>
      </c>
      <c r="E795" s="1849">
        <f>'Part VI-Revenues &amp; Expenses'!E38</f>
        <v>0</v>
      </c>
      <c r="F795" s="1849">
        <f>'Part VI-Revenues &amp; Expenses'!F38</f>
        <v>0</v>
      </c>
      <c r="G795" s="1849">
        <f>'Part VI-Revenues &amp; Expenses'!G38</f>
        <v>0</v>
      </c>
      <c r="H795" s="1849">
        <f>'Part VI-Revenues &amp; Expenses'!H38</f>
        <v>0</v>
      </c>
      <c r="I795" s="1849">
        <f>'Part VI-Revenues &amp; Expenses'!I38</f>
        <v>0</v>
      </c>
      <c r="J795" s="1850">
        <f>'Part VI-Revenues &amp; Expenses'!J38</f>
        <v>0</v>
      </c>
      <c r="K795" s="1851">
        <f t="shared" si="2"/>
        <v>0</v>
      </c>
      <c r="L795" s="1851">
        <f t="shared" si="3"/>
        <v>0</v>
      </c>
      <c r="M795" s="1725">
        <f>'Part VI-Revenues &amp; Expenses'!M38</f>
        <v>0</v>
      </c>
      <c r="N795" s="1725">
        <f>'Part VI-Revenues &amp; Expenses'!N38</f>
        <v>0</v>
      </c>
      <c r="O795" s="1725">
        <f>'Part VI-Revenues &amp; Expenses'!O38</f>
        <v>0</v>
      </c>
      <c r="P795" s="1831">
        <f>'Part VI-Revenues &amp; Expenses'!P38</f>
        <v>0</v>
      </c>
      <c r="Q795" s="1852" t="str">
        <f>'Part VI-Revenues &amp; Expenses'!Q38</f>
        <v/>
      </c>
      <c r="R795" s="1853" t="str">
        <f>'Part VI-Revenues &amp; Expenses'!R38</f>
        <v/>
      </c>
      <c r="S795" s="1852">
        <f>'Part VI-Revenues &amp; Expenses'!S38</f>
        <v>0</v>
      </c>
      <c r="T795" s="1853">
        <f>'Part VI-Revenues &amp; Expenses'!T38</f>
        <v>0</v>
      </c>
      <c r="U795" s="1775"/>
      <c r="V795" s="1775"/>
      <c r="W795" s="683" t="str">
        <f t="shared" si="4"/>
        <v/>
      </c>
      <c r="X795" s="683" t="str">
        <f t="shared" si="5"/>
        <v/>
      </c>
      <c r="Y795" s="683" t="str">
        <f t="shared" si="6"/>
        <v/>
      </c>
      <c r="Z795" s="683" t="str">
        <f t="shared" si="7"/>
        <v/>
      </c>
      <c r="AA795" s="683" t="str">
        <f t="shared" si="8"/>
        <v/>
      </c>
      <c r="AB795" s="683" t="str">
        <f t="shared" si="9"/>
        <v/>
      </c>
      <c r="AC795" s="683" t="str">
        <f t="shared" si="10"/>
        <v/>
      </c>
      <c r="AD795" s="683" t="str">
        <f t="shared" si="11"/>
        <v/>
      </c>
      <c r="AE795" s="683" t="str">
        <f t="shared" si="12"/>
        <v/>
      </c>
      <c r="AF795" s="683" t="str">
        <f t="shared" si="13"/>
        <v/>
      </c>
      <c r="AG795" s="683" t="str">
        <f t="shared" si="14"/>
        <v/>
      </c>
      <c r="AH795" s="683" t="str">
        <f t="shared" si="15"/>
        <v/>
      </c>
      <c r="AI795" s="683" t="str">
        <f t="shared" si="16"/>
        <v/>
      </c>
      <c r="AJ795" s="683" t="str">
        <f t="shared" si="17"/>
        <v/>
      </c>
      <c r="AK795" s="683" t="str">
        <f t="shared" si="18"/>
        <v/>
      </c>
      <c r="AL795" s="683" t="str">
        <f t="shared" si="19"/>
        <v/>
      </c>
      <c r="AM795" s="683" t="str">
        <f t="shared" si="20"/>
        <v/>
      </c>
      <c r="AN795" s="683" t="str">
        <f t="shared" si="21"/>
        <v/>
      </c>
      <c r="AO795" s="683" t="str">
        <f t="shared" si="22"/>
        <v/>
      </c>
      <c r="AP795" s="683" t="str">
        <f t="shared" si="23"/>
        <v/>
      </c>
      <c r="AQ795" s="683" t="str">
        <f t="shared" si="24"/>
        <v/>
      </c>
      <c r="AR795" s="683" t="str">
        <f t="shared" si="25"/>
        <v/>
      </c>
      <c r="AS795" s="683" t="str">
        <f t="shared" si="26"/>
        <v/>
      </c>
      <c r="AT795" s="683" t="str">
        <f t="shared" si="27"/>
        <v/>
      </c>
      <c r="AU795" s="683" t="str">
        <f t="shared" si="28"/>
        <v/>
      </c>
      <c r="AV795" s="683" t="str">
        <f t="shared" si="29"/>
        <v/>
      </c>
      <c r="AW795" s="683" t="str">
        <f t="shared" si="30"/>
        <v/>
      </c>
      <c r="AX795" s="683" t="str">
        <f t="shared" si="31"/>
        <v/>
      </c>
      <c r="AY795" s="683" t="str">
        <f t="shared" si="32"/>
        <v/>
      </c>
      <c r="AZ795" s="683" t="str">
        <f t="shared" si="33"/>
        <v/>
      </c>
      <c r="BA795" s="683" t="str">
        <f t="shared" si="34"/>
        <v/>
      </c>
      <c r="BB795" s="683" t="str">
        <f t="shared" si="35"/>
        <v/>
      </c>
      <c r="BC795" s="683" t="str">
        <f t="shared" si="36"/>
        <v/>
      </c>
      <c r="BD795" s="683" t="str">
        <f t="shared" si="37"/>
        <v/>
      </c>
      <c r="BE795" s="683" t="str">
        <f t="shared" si="38"/>
        <v/>
      </c>
      <c r="BF795" s="683" t="str">
        <f t="shared" si="39"/>
        <v/>
      </c>
      <c r="BG795" s="683" t="str">
        <f t="shared" si="40"/>
        <v/>
      </c>
      <c r="BH795" s="683" t="str">
        <f t="shared" si="41"/>
        <v/>
      </c>
      <c r="BI795" s="683" t="str">
        <f t="shared" si="42"/>
        <v/>
      </c>
      <c r="BJ795" s="683" t="str">
        <f t="shared" si="43"/>
        <v/>
      </c>
      <c r="BK795" s="683" t="str">
        <f t="shared" si="44"/>
        <v/>
      </c>
      <c r="BL795" s="683" t="str">
        <f t="shared" si="45"/>
        <v/>
      </c>
      <c r="BM795" s="683" t="str">
        <f t="shared" si="46"/>
        <v/>
      </c>
      <c r="BN795" s="683" t="str">
        <f t="shared" si="47"/>
        <v/>
      </c>
      <c r="BO795" s="683" t="str">
        <f t="shared" si="48"/>
        <v/>
      </c>
      <c r="BP795" s="683" t="str">
        <f t="shared" si="49"/>
        <v/>
      </c>
      <c r="BQ795" s="683" t="str">
        <f t="shared" si="50"/>
        <v/>
      </c>
      <c r="BR795" s="683" t="str">
        <f t="shared" si="51"/>
        <v/>
      </c>
      <c r="BS795" s="683" t="str">
        <f t="shared" si="52"/>
        <v/>
      </c>
      <c r="BT795" s="683" t="str">
        <f t="shared" si="53"/>
        <v/>
      </c>
      <c r="BU795" s="683" t="str">
        <f t="shared" si="54"/>
        <v/>
      </c>
      <c r="BV795" s="683" t="str">
        <f t="shared" si="55"/>
        <v/>
      </c>
      <c r="BW795" s="683" t="str">
        <f t="shared" si="56"/>
        <v/>
      </c>
      <c r="BX795" s="683" t="str">
        <f t="shared" si="57"/>
        <v/>
      </c>
      <c r="BY795" s="683" t="str">
        <f t="shared" si="58"/>
        <v/>
      </c>
      <c r="BZ795" s="683" t="str">
        <f t="shared" si="59"/>
        <v/>
      </c>
      <c r="CA795" s="683" t="str">
        <f t="shared" si="60"/>
        <v/>
      </c>
      <c r="CB795" s="683" t="str">
        <f t="shared" si="61"/>
        <v/>
      </c>
      <c r="CC795" s="683" t="str">
        <f t="shared" si="62"/>
        <v/>
      </c>
      <c r="CD795" s="683" t="str">
        <f t="shared" si="63"/>
        <v/>
      </c>
      <c r="CE795" s="683" t="str">
        <f t="shared" si="64"/>
        <v/>
      </c>
      <c r="CF795" s="683" t="str">
        <f t="shared" si="65"/>
        <v/>
      </c>
      <c r="CG795" s="683" t="str">
        <f t="shared" si="66"/>
        <v/>
      </c>
      <c r="CH795" s="683" t="str">
        <f t="shared" si="67"/>
        <v/>
      </c>
      <c r="CI795" s="683" t="str">
        <f t="shared" si="68"/>
        <v/>
      </c>
      <c r="CJ795" s="683" t="str">
        <f t="shared" si="69"/>
        <v/>
      </c>
      <c r="CK795" s="683" t="str">
        <f t="shared" si="70"/>
        <v/>
      </c>
      <c r="CL795" s="683" t="str">
        <f t="shared" si="71"/>
        <v/>
      </c>
      <c r="CM795" s="683" t="str">
        <f t="shared" si="72"/>
        <v/>
      </c>
      <c r="CN795" s="683" t="str">
        <f t="shared" si="73"/>
        <v/>
      </c>
      <c r="CO795" s="683" t="str">
        <f t="shared" si="74"/>
        <v/>
      </c>
      <c r="CP795" s="683" t="str">
        <f t="shared" si="75"/>
        <v/>
      </c>
      <c r="CQ795" s="683" t="str">
        <f t="shared" si="76"/>
        <v/>
      </c>
      <c r="CR795" s="683" t="str">
        <f t="shared" si="77"/>
        <v/>
      </c>
      <c r="CS795" s="683" t="str">
        <f t="shared" si="78"/>
        <v/>
      </c>
      <c r="CT795" s="683" t="str">
        <f t="shared" si="79"/>
        <v/>
      </c>
      <c r="CU795" s="683" t="str">
        <f t="shared" si="80"/>
        <v/>
      </c>
      <c r="CV795" s="683" t="str">
        <f t="shared" si="81"/>
        <v/>
      </c>
      <c r="CW795" s="683" t="str">
        <f t="shared" si="82"/>
        <v/>
      </c>
      <c r="CX795" s="683" t="str">
        <f t="shared" si="83"/>
        <v/>
      </c>
      <c r="CY795" s="683" t="str">
        <f t="shared" si="84"/>
        <v/>
      </c>
      <c r="CZ795" s="683" t="str">
        <f t="shared" si="85"/>
        <v/>
      </c>
      <c r="DA795" s="683" t="str">
        <f t="shared" si="86"/>
        <v/>
      </c>
      <c r="DB795" s="683" t="str">
        <f t="shared" si="87"/>
        <v/>
      </c>
      <c r="DC795" s="683" t="str">
        <f t="shared" si="88"/>
        <v/>
      </c>
      <c r="DD795" s="683" t="str">
        <f t="shared" si="89"/>
        <v/>
      </c>
      <c r="DE795" s="683" t="str">
        <f t="shared" si="90"/>
        <v/>
      </c>
      <c r="DF795" s="683" t="str">
        <f t="shared" si="91"/>
        <v/>
      </c>
      <c r="DG795" s="683" t="str">
        <f t="shared" si="92"/>
        <v/>
      </c>
      <c r="DH795" s="683" t="str">
        <f t="shared" si="93"/>
        <v/>
      </c>
      <c r="DI795" s="683" t="str">
        <f t="shared" si="94"/>
        <v/>
      </c>
      <c r="DJ795" s="683" t="str">
        <f t="shared" si="95"/>
        <v/>
      </c>
      <c r="DK795" s="683" t="str">
        <f t="shared" si="96"/>
        <v/>
      </c>
      <c r="DL795" s="683" t="str">
        <f t="shared" si="97"/>
        <v/>
      </c>
      <c r="DM795" s="683" t="str">
        <f t="shared" si="98"/>
        <v/>
      </c>
      <c r="DN795" s="683" t="str">
        <f t="shared" si="99"/>
        <v/>
      </c>
      <c r="DO795" s="683" t="str">
        <f t="shared" si="100"/>
        <v/>
      </c>
      <c r="DP795" s="683" t="str">
        <f t="shared" si="101"/>
        <v/>
      </c>
      <c r="DQ795" s="683" t="str">
        <f t="shared" si="102"/>
        <v/>
      </c>
      <c r="DR795" s="683" t="str">
        <f t="shared" si="103"/>
        <v/>
      </c>
      <c r="DS795" s="683" t="str">
        <f t="shared" si="104"/>
        <v/>
      </c>
      <c r="DT795" s="683" t="str">
        <f t="shared" si="105"/>
        <v/>
      </c>
      <c r="DU795" s="683" t="str">
        <f t="shared" si="106"/>
        <v/>
      </c>
      <c r="DV795" s="683" t="str">
        <f t="shared" si="107"/>
        <v/>
      </c>
      <c r="DW795" s="683" t="str">
        <f t="shared" si="108"/>
        <v/>
      </c>
      <c r="DX795" s="683" t="str">
        <f t="shared" si="109"/>
        <v/>
      </c>
      <c r="DY795" s="683" t="str">
        <f t="shared" si="110"/>
        <v/>
      </c>
      <c r="DZ795" s="683" t="str">
        <f t="shared" si="111"/>
        <v/>
      </c>
      <c r="EA795" s="683" t="str">
        <f t="shared" si="112"/>
        <v/>
      </c>
      <c r="EB795" s="683" t="str">
        <f t="shared" si="113"/>
        <v/>
      </c>
      <c r="EC795" s="683" t="str">
        <f t="shared" si="114"/>
        <v/>
      </c>
      <c r="ED795" s="683" t="str">
        <f t="shared" si="115"/>
        <v/>
      </c>
      <c r="EE795" s="683" t="str">
        <f t="shared" si="116"/>
        <v/>
      </c>
      <c r="EF795" s="683" t="str">
        <f t="shared" si="117"/>
        <v/>
      </c>
      <c r="EG795" s="683" t="str">
        <f t="shared" si="118"/>
        <v/>
      </c>
      <c r="EH795" s="683" t="str">
        <f t="shared" si="119"/>
        <v/>
      </c>
      <c r="EI795" s="683" t="str">
        <f t="shared" si="120"/>
        <v/>
      </c>
      <c r="EJ795" s="683" t="str">
        <f t="shared" si="121"/>
        <v/>
      </c>
      <c r="EK795" s="683" t="str">
        <f t="shared" si="122"/>
        <v/>
      </c>
      <c r="EL795" s="683" t="str">
        <f t="shared" si="123"/>
        <v/>
      </c>
      <c r="EM795" s="683" t="str">
        <f t="shared" si="124"/>
        <v/>
      </c>
      <c r="EN795" s="683" t="str">
        <f t="shared" si="125"/>
        <v/>
      </c>
      <c r="EO795" s="683" t="str">
        <f t="shared" si="126"/>
        <v/>
      </c>
      <c r="EP795" s="683" t="str">
        <f t="shared" si="127"/>
        <v/>
      </c>
      <c r="EQ795" s="683" t="str">
        <f t="shared" si="128"/>
        <v/>
      </c>
      <c r="ER795" s="683" t="str">
        <f t="shared" si="129"/>
        <v/>
      </c>
      <c r="ES795" s="683" t="str">
        <f t="shared" si="130"/>
        <v/>
      </c>
      <c r="ET795" s="683" t="str">
        <f t="shared" si="131"/>
        <v/>
      </c>
      <c r="EU795" s="683" t="str">
        <f t="shared" si="132"/>
        <v/>
      </c>
      <c r="EV795" s="683" t="str">
        <f t="shared" si="133"/>
        <v/>
      </c>
      <c r="EW795" s="1854" t="str">
        <f t="shared" si="134"/>
        <v/>
      </c>
      <c r="EX795" s="1854" t="str">
        <f t="shared" si="135"/>
        <v/>
      </c>
      <c r="EY795" s="1854" t="str">
        <f t="shared" si="136"/>
        <v/>
      </c>
      <c r="EZ795" s="1854" t="str">
        <f t="shared" si="137"/>
        <v/>
      </c>
      <c r="FA795" s="1854" t="str">
        <f t="shared" si="138"/>
        <v/>
      </c>
      <c r="FB795" s="1854" t="str">
        <f t="shared" si="139"/>
        <v/>
      </c>
      <c r="FC795" s="1854" t="str">
        <f t="shared" si="140"/>
        <v/>
      </c>
      <c r="FD795" s="1854" t="str">
        <f t="shared" si="141"/>
        <v/>
      </c>
      <c r="FE795" s="1854" t="str">
        <f t="shared" si="142"/>
        <v/>
      </c>
      <c r="FF795" s="1854" t="str">
        <f t="shared" si="143"/>
        <v/>
      </c>
      <c r="FG795" s="1854" t="str">
        <f t="shared" si="144"/>
        <v/>
      </c>
      <c r="FH795" s="1854" t="str">
        <f t="shared" si="145"/>
        <v/>
      </c>
      <c r="FI795" s="1854" t="str">
        <f t="shared" si="146"/>
        <v/>
      </c>
      <c r="FJ795" s="1854" t="str">
        <f t="shared" si="147"/>
        <v/>
      </c>
      <c r="FK795" s="1854" t="str">
        <f t="shared" si="148"/>
        <v/>
      </c>
      <c r="FL795" s="1854" t="str">
        <f t="shared" si="149"/>
        <v/>
      </c>
      <c r="FM795" s="1854" t="str">
        <f t="shared" si="150"/>
        <v/>
      </c>
      <c r="FN795" s="1854" t="str">
        <f t="shared" si="151"/>
        <v/>
      </c>
      <c r="FO795" s="1854" t="str">
        <f t="shared" si="152"/>
        <v/>
      </c>
      <c r="FP795" s="1854" t="str">
        <f t="shared" si="153"/>
        <v/>
      </c>
      <c r="FQ795" s="1854" t="str">
        <f t="shared" si="154"/>
        <v/>
      </c>
      <c r="FR795" s="1854" t="str">
        <f t="shared" si="155"/>
        <v/>
      </c>
      <c r="FS795" s="1854" t="str">
        <f t="shared" si="156"/>
        <v/>
      </c>
      <c r="FT795" s="1854" t="str">
        <f t="shared" si="157"/>
        <v/>
      </c>
      <c r="FU795" s="1854" t="str">
        <f t="shared" si="158"/>
        <v/>
      </c>
      <c r="FV795" s="1854" t="str">
        <f t="shared" si="159"/>
        <v/>
      </c>
      <c r="FW795" s="1854" t="str">
        <f t="shared" si="160"/>
        <v/>
      </c>
      <c r="FX795" s="1854" t="str">
        <f t="shared" si="161"/>
        <v/>
      </c>
      <c r="FY795" s="1854" t="str">
        <f t="shared" si="162"/>
        <v/>
      </c>
      <c r="FZ795" s="1854" t="str">
        <f t="shared" si="163"/>
        <v/>
      </c>
      <c r="GA795" s="1854" t="str">
        <f t="shared" si="164"/>
        <v/>
      </c>
      <c r="GB795" s="1854" t="str">
        <f t="shared" si="165"/>
        <v/>
      </c>
      <c r="GC795" s="1854" t="str">
        <f t="shared" si="166"/>
        <v/>
      </c>
      <c r="GD795" s="1854" t="str">
        <f t="shared" si="167"/>
        <v/>
      </c>
      <c r="GE795" s="1854" t="str">
        <f t="shared" si="168"/>
        <v/>
      </c>
      <c r="GF795" s="1854" t="str">
        <f t="shared" si="169"/>
        <v/>
      </c>
      <c r="GG795" s="1854" t="str">
        <f t="shared" si="170"/>
        <v/>
      </c>
      <c r="GH795" s="1854" t="str">
        <f t="shared" si="171"/>
        <v/>
      </c>
      <c r="GI795" s="1854" t="str">
        <f t="shared" si="172"/>
        <v/>
      </c>
      <c r="GJ795" s="1854" t="str">
        <f t="shared" si="173"/>
        <v/>
      </c>
      <c r="GK795" s="1854" t="str">
        <f t="shared" si="174"/>
        <v/>
      </c>
      <c r="GL795" s="1854" t="str">
        <f t="shared" si="175"/>
        <v/>
      </c>
      <c r="GM795" s="1854" t="str">
        <f t="shared" si="176"/>
        <v/>
      </c>
      <c r="GN795" s="1854" t="str">
        <f t="shared" si="177"/>
        <v/>
      </c>
      <c r="GO795" s="1854" t="str">
        <f t="shared" si="178"/>
        <v/>
      </c>
      <c r="GP795" s="1854" t="str">
        <f t="shared" si="179"/>
        <v/>
      </c>
      <c r="GQ795" s="1854" t="str">
        <f t="shared" si="180"/>
        <v/>
      </c>
      <c r="GR795" s="1854" t="str">
        <f t="shared" si="181"/>
        <v/>
      </c>
      <c r="GS795" s="1854" t="str">
        <f t="shared" si="182"/>
        <v/>
      </c>
      <c r="GT795" s="1854" t="str">
        <f t="shared" si="183"/>
        <v/>
      </c>
      <c r="GU795" s="1854" t="str">
        <f t="shared" si="184"/>
        <v/>
      </c>
      <c r="GV795" s="1854" t="str">
        <f t="shared" si="185"/>
        <v/>
      </c>
      <c r="GW795" s="1854" t="str">
        <f t="shared" si="186"/>
        <v/>
      </c>
      <c r="GX795" s="1854" t="str">
        <f t="shared" si="187"/>
        <v/>
      </c>
      <c r="GY795" s="1854" t="str">
        <f t="shared" si="188"/>
        <v/>
      </c>
      <c r="GZ795" s="1854" t="str">
        <f t="shared" si="189"/>
        <v/>
      </c>
      <c r="HA795" s="1854" t="str">
        <f t="shared" si="190"/>
        <v/>
      </c>
      <c r="HB795" s="1854" t="str">
        <f t="shared" si="191"/>
        <v/>
      </c>
      <c r="HC795" s="1854" t="str">
        <f t="shared" si="192"/>
        <v/>
      </c>
      <c r="HD795" s="1854" t="str">
        <f t="shared" si="193"/>
        <v/>
      </c>
      <c r="HE795" s="1854" t="str">
        <f t="shared" si="194"/>
        <v/>
      </c>
      <c r="HF795" s="1854" t="str">
        <f t="shared" si="195"/>
        <v/>
      </c>
      <c r="HG795" s="1854" t="str">
        <f t="shared" si="196"/>
        <v/>
      </c>
      <c r="HH795" s="1854" t="str">
        <f t="shared" si="197"/>
        <v/>
      </c>
      <c r="HI795" s="1854" t="str">
        <f t="shared" si="198"/>
        <v/>
      </c>
      <c r="HJ795" s="1854" t="str">
        <f t="shared" si="199"/>
        <v/>
      </c>
      <c r="HK795" s="1854" t="str">
        <f t="shared" si="200"/>
        <v/>
      </c>
      <c r="HL795" s="1854" t="str">
        <f t="shared" si="201"/>
        <v/>
      </c>
      <c r="HM795" s="1854" t="str">
        <f t="shared" si="202"/>
        <v/>
      </c>
      <c r="HN795" s="1854" t="str">
        <f t="shared" si="203"/>
        <v/>
      </c>
      <c r="HO795" s="1854" t="str">
        <f t="shared" si="204"/>
        <v/>
      </c>
      <c r="HP795" s="1854" t="str">
        <f t="shared" si="205"/>
        <v/>
      </c>
      <c r="HQ795" s="1854" t="str">
        <f t="shared" si="206"/>
        <v/>
      </c>
      <c r="HR795" s="1854" t="str">
        <f t="shared" si="207"/>
        <v/>
      </c>
      <c r="HS795" s="1854" t="str">
        <f t="shared" si="208"/>
        <v/>
      </c>
      <c r="HT795" s="1854" t="str">
        <f t="shared" si="209"/>
        <v/>
      </c>
      <c r="HU795" s="1854" t="str">
        <f t="shared" si="210"/>
        <v/>
      </c>
      <c r="HV795" s="1854" t="str">
        <f t="shared" si="211"/>
        <v/>
      </c>
      <c r="HW795" s="1854" t="str">
        <f t="shared" si="212"/>
        <v/>
      </c>
      <c r="HX795" s="1854" t="str">
        <f t="shared" si="213"/>
        <v/>
      </c>
      <c r="HY795" s="1854" t="str">
        <f t="shared" si="214"/>
        <v/>
      </c>
      <c r="HZ795" s="1854" t="str">
        <f t="shared" si="215"/>
        <v/>
      </c>
      <c r="IA795" s="1854" t="str">
        <f t="shared" si="216"/>
        <v/>
      </c>
      <c r="IB795" s="1854" t="str">
        <f t="shared" si="217"/>
        <v/>
      </c>
      <c r="IC795" s="1854" t="str">
        <f t="shared" si="218"/>
        <v/>
      </c>
      <c r="ID795" s="1826" t="str">
        <f t="shared" si="219"/>
        <v/>
      </c>
      <c r="IE795" s="1826" t="str">
        <f t="shared" si="220"/>
        <v/>
      </c>
      <c r="IF795" s="1826" t="str">
        <f t="shared" si="221"/>
        <v/>
      </c>
      <c r="IG795" s="1826" t="str">
        <f t="shared" si="222"/>
        <v/>
      </c>
      <c r="IH795" s="1826" t="str">
        <f t="shared" si="223"/>
        <v/>
      </c>
      <c r="II795" s="683" t="str">
        <f t="shared" si="224"/>
        <v/>
      </c>
      <c r="IJ795" s="683" t="str">
        <f t="shared" si="225"/>
        <v/>
      </c>
      <c r="IK795" s="683" t="str">
        <f t="shared" si="226"/>
        <v/>
      </c>
      <c r="IL795" s="683" t="str">
        <f t="shared" si="227"/>
        <v/>
      </c>
      <c r="IM795" s="683" t="str">
        <f t="shared" si="228"/>
        <v/>
      </c>
      <c r="IN795" s="683" t="str">
        <f t="shared" si="229"/>
        <v/>
      </c>
      <c r="IO795" s="683" t="str">
        <f t="shared" si="230"/>
        <v/>
      </c>
      <c r="IP795" s="683" t="str">
        <f t="shared" si="231"/>
        <v/>
      </c>
      <c r="IQ795" s="683" t="str">
        <f t="shared" si="232"/>
        <v/>
      </c>
      <c r="IR795" s="683" t="str">
        <f t="shared" si="233"/>
        <v/>
      </c>
      <c r="IS795" s="683" t="str">
        <f t="shared" si="234"/>
        <v/>
      </c>
      <c r="IT795" s="683" t="str">
        <f t="shared" si="235"/>
        <v/>
      </c>
      <c r="IU795" s="683" t="str">
        <f t="shared" si="236"/>
        <v/>
      </c>
      <c r="IV795" s="683" t="str">
        <f t="shared" si="237"/>
        <v/>
      </c>
      <c r="IW795" s="683" t="str">
        <f t="shared" si="238"/>
        <v/>
      </c>
      <c r="IX795" s="683" t="str">
        <f t="shared" si="239"/>
        <v/>
      </c>
      <c r="IY795" s="683" t="str">
        <f t="shared" si="240"/>
        <v/>
      </c>
      <c r="IZ795" s="683" t="str">
        <f t="shared" si="241"/>
        <v/>
      </c>
      <c r="JA795" s="683" t="str">
        <f t="shared" si="242"/>
        <v/>
      </c>
      <c r="JB795" s="683" t="str">
        <f t="shared" si="243"/>
        <v/>
      </c>
      <c r="JC795" s="1824">
        <f t="shared" si="244"/>
        <v>0</v>
      </c>
      <c r="JD795" s="1824">
        <f t="shared" si="245"/>
        <v>0</v>
      </c>
      <c r="JE795" s="1824">
        <f t="shared" si="246"/>
        <v>0</v>
      </c>
      <c r="JF795" s="1824">
        <f t="shared" si="247"/>
        <v>0</v>
      </c>
      <c r="JG795" s="1824">
        <f t="shared" si="248"/>
        <v>0</v>
      </c>
      <c r="JH795" s="1824">
        <f t="shared" si="249"/>
        <v>0</v>
      </c>
      <c r="JI795" s="1824">
        <f t="shared" si="250"/>
        <v>0</v>
      </c>
      <c r="JJ795" s="1824">
        <f t="shared" si="251"/>
        <v>0</v>
      </c>
      <c r="JK795" s="1824">
        <f t="shared" si="252"/>
        <v>0</v>
      </c>
      <c r="JL795" s="1824">
        <f t="shared" si="253"/>
        <v>0</v>
      </c>
      <c r="JM795" s="1824">
        <f t="shared" si="254"/>
        <v>0</v>
      </c>
      <c r="JN795" s="1824">
        <f t="shared" si="255"/>
        <v>0</v>
      </c>
      <c r="JO795" s="1824">
        <f t="shared" si="256"/>
        <v>0</v>
      </c>
      <c r="JP795" s="1824">
        <f t="shared" si="257"/>
        <v>0</v>
      </c>
      <c r="JQ795" s="1824">
        <f t="shared" si="258"/>
        <v>0</v>
      </c>
    </row>
    <row r="796" spans="1:277" ht="12" customHeight="1">
      <c r="A796" s="1837" t="str">
        <f t="shared" si="1"/>
        <v/>
      </c>
      <c r="B796" s="1846" t="str">
        <f>'Part VI-Revenues &amp; Expenses'!B39</f>
        <v>&lt;&lt;Select&gt;&gt;</v>
      </c>
      <c r="C796" s="1847">
        <f>'Part VI-Revenues &amp; Expenses'!C39</f>
        <v>0</v>
      </c>
      <c r="D796" s="1848">
        <f>'Part VI-Revenues &amp; Expenses'!D39</f>
        <v>0</v>
      </c>
      <c r="E796" s="1849">
        <f>'Part VI-Revenues &amp; Expenses'!E39</f>
        <v>0</v>
      </c>
      <c r="F796" s="1849">
        <f>'Part VI-Revenues &amp; Expenses'!F39</f>
        <v>0</v>
      </c>
      <c r="G796" s="1849">
        <f>'Part VI-Revenues &amp; Expenses'!G39</f>
        <v>0</v>
      </c>
      <c r="H796" s="1849">
        <f>'Part VI-Revenues &amp; Expenses'!H39</f>
        <v>0</v>
      </c>
      <c r="I796" s="1849">
        <f>'Part VI-Revenues &amp; Expenses'!I39</f>
        <v>0</v>
      </c>
      <c r="J796" s="1850">
        <f>'Part VI-Revenues &amp; Expenses'!J39</f>
        <v>0</v>
      </c>
      <c r="K796" s="1851">
        <f t="shared" si="2"/>
        <v>0</v>
      </c>
      <c r="L796" s="1851">
        <f t="shared" si="3"/>
        <v>0</v>
      </c>
      <c r="M796" s="1725">
        <f>'Part VI-Revenues &amp; Expenses'!M39</f>
        <v>0</v>
      </c>
      <c r="N796" s="1725">
        <f>'Part VI-Revenues &amp; Expenses'!N39</f>
        <v>0</v>
      </c>
      <c r="O796" s="1725">
        <f>'Part VI-Revenues &amp; Expenses'!O39</f>
        <v>0</v>
      </c>
      <c r="P796" s="1831">
        <f>'Part VI-Revenues &amp; Expenses'!P39</f>
        <v>0</v>
      </c>
      <c r="Q796" s="1852" t="str">
        <f>'Part VI-Revenues &amp; Expenses'!Q39</f>
        <v/>
      </c>
      <c r="R796" s="1853" t="str">
        <f>'Part VI-Revenues &amp; Expenses'!R39</f>
        <v/>
      </c>
      <c r="S796" s="1852">
        <f>'Part VI-Revenues &amp; Expenses'!S39</f>
        <v>0</v>
      </c>
      <c r="T796" s="1853">
        <f>'Part VI-Revenues &amp; Expenses'!T39</f>
        <v>0</v>
      </c>
      <c r="U796" s="1775"/>
      <c r="V796" s="1775"/>
      <c r="W796" s="683" t="str">
        <f t="shared" si="4"/>
        <v/>
      </c>
      <c r="X796" s="683" t="str">
        <f t="shared" si="5"/>
        <v/>
      </c>
      <c r="Y796" s="683" t="str">
        <f t="shared" si="6"/>
        <v/>
      </c>
      <c r="Z796" s="683" t="str">
        <f t="shared" si="7"/>
        <v/>
      </c>
      <c r="AA796" s="683" t="str">
        <f t="shared" si="8"/>
        <v/>
      </c>
      <c r="AB796" s="683" t="str">
        <f t="shared" si="9"/>
        <v/>
      </c>
      <c r="AC796" s="683" t="str">
        <f t="shared" si="10"/>
        <v/>
      </c>
      <c r="AD796" s="683" t="str">
        <f t="shared" si="11"/>
        <v/>
      </c>
      <c r="AE796" s="683" t="str">
        <f t="shared" si="12"/>
        <v/>
      </c>
      <c r="AF796" s="683" t="str">
        <f t="shared" si="13"/>
        <v/>
      </c>
      <c r="AG796" s="683" t="str">
        <f t="shared" si="14"/>
        <v/>
      </c>
      <c r="AH796" s="683" t="str">
        <f t="shared" si="15"/>
        <v/>
      </c>
      <c r="AI796" s="683" t="str">
        <f t="shared" si="16"/>
        <v/>
      </c>
      <c r="AJ796" s="683" t="str">
        <f t="shared" si="17"/>
        <v/>
      </c>
      <c r="AK796" s="683" t="str">
        <f t="shared" si="18"/>
        <v/>
      </c>
      <c r="AL796" s="683" t="str">
        <f t="shared" si="19"/>
        <v/>
      </c>
      <c r="AM796" s="683" t="str">
        <f t="shared" si="20"/>
        <v/>
      </c>
      <c r="AN796" s="683" t="str">
        <f t="shared" si="21"/>
        <v/>
      </c>
      <c r="AO796" s="683" t="str">
        <f t="shared" si="22"/>
        <v/>
      </c>
      <c r="AP796" s="683" t="str">
        <f t="shared" si="23"/>
        <v/>
      </c>
      <c r="AQ796" s="683" t="str">
        <f t="shared" si="24"/>
        <v/>
      </c>
      <c r="AR796" s="683" t="str">
        <f t="shared" si="25"/>
        <v/>
      </c>
      <c r="AS796" s="683" t="str">
        <f t="shared" si="26"/>
        <v/>
      </c>
      <c r="AT796" s="683" t="str">
        <f t="shared" si="27"/>
        <v/>
      </c>
      <c r="AU796" s="683" t="str">
        <f t="shared" si="28"/>
        <v/>
      </c>
      <c r="AV796" s="683" t="str">
        <f t="shared" si="29"/>
        <v/>
      </c>
      <c r="AW796" s="683" t="str">
        <f t="shared" si="30"/>
        <v/>
      </c>
      <c r="AX796" s="683" t="str">
        <f t="shared" si="31"/>
        <v/>
      </c>
      <c r="AY796" s="683" t="str">
        <f t="shared" si="32"/>
        <v/>
      </c>
      <c r="AZ796" s="683" t="str">
        <f t="shared" si="33"/>
        <v/>
      </c>
      <c r="BA796" s="683" t="str">
        <f t="shared" si="34"/>
        <v/>
      </c>
      <c r="BB796" s="683" t="str">
        <f t="shared" si="35"/>
        <v/>
      </c>
      <c r="BC796" s="683" t="str">
        <f t="shared" si="36"/>
        <v/>
      </c>
      <c r="BD796" s="683" t="str">
        <f t="shared" si="37"/>
        <v/>
      </c>
      <c r="BE796" s="683" t="str">
        <f t="shared" si="38"/>
        <v/>
      </c>
      <c r="BF796" s="683" t="str">
        <f t="shared" si="39"/>
        <v/>
      </c>
      <c r="BG796" s="683" t="str">
        <f t="shared" si="40"/>
        <v/>
      </c>
      <c r="BH796" s="683" t="str">
        <f t="shared" si="41"/>
        <v/>
      </c>
      <c r="BI796" s="683" t="str">
        <f t="shared" si="42"/>
        <v/>
      </c>
      <c r="BJ796" s="683" t="str">
        <f t="shared" si="43"/>
        <v/>
      </c>
      <c r="BK796" s="683" t="str">
        <f t="shared" si="44"/>
        <v/>
      </c>
      <c r="BL796" s="683" t="str">
        <f t="shared" si="45"/>
        <v/>
      </c>
      <c r="BM796" s="683" t="str">
        <f t="shared" si="46"/>
        <v/>
      </c>
      <c r="BN796" s="683" t="str">
        <f t="shared" si="47"/>
        <v/>
      </c>
      <c r="BO796" s="683" t="str">
        <f t="shared" si="48"/>
        <v/>
      </c>
      <c r="BP796" s="683" t="str">
        <f t="shared" si="49"/>
        <v/>
      </c>
      <c r="BQ796" s="683" t="str">
        <f t="shared" si="50"/>
        <v/>
      </c>
      <c r="BR796" s="683" t="str">
        <f t="shared" si="51"/>
        <v/>
      </c>
      <c r="BS796" s="683" t="str">
        <f t="shared" si="52"/>
        <v/>
      </c>
      <c r="BT796" s="683" t="str">
        <f t="shared" si="53"/>
        <v/>
      </c>
      <c r="BU796" s="683" t="str">
        <f t="shared" si="54"/>
        <v/>
      </c>
      <c r="BV796" s="683" t="str">
        <f t="shared" si="55"/>
        <v/>
      </c>
      <c r="BW796" s="683" t="str">
        <f t="shared" si="56"/>
        <v/>
      </c>
      <c r="BX796" s="683" t="str">
        <f t="shared" si="57"/>
        <v/>
      </c>
      <c r="BY796" s="683" t="str">
        <f t="shared" si="58"/>
        <v/>
      </c>
      <c r="BZ796" s="683" t="str">
        <f t="shared" si="59"/>
        <v/>
      </c>
      <c r="CA796" s="683" t="str">
        <f t="shared" si="60"/>
        <v/>
      </c>
      <c r="CB796" s="683" t="str">
        <f t="shared" si="61"/>
        <v/>
      </c>
      <c r="CC796" s="683" t="str">
        <f t="shared" si="62"/>
        <v/>
      </c>
      <c r="CD796" s="683" t="str">
        <f t="shared" si="63"/>
        <v/>
      </c>
      <c r="CE796" s="683" t="str">
        <f t="shared" si="64"/>
        <v/>
      </c>
      <c r="CF796" s="683" t="str">
        <f t="shared" si="65"/>
        <v/>
      </c>
      <c r="CG796" s="683" t="str">
        <f t="shared" si="66"/>
        <v/>
      </c>
      <c r="CH796" s="683" t="str">
        <f t="shared" si="67"/>
        <v/>
      </c>
      <c r="CI796" s="683" t="str">
        <f t="shared" si="68"/>
        <v/>
      </c>
      <c r="CJ796" s="683" t="str">
        <f t="shared" si="69"/>
        <v/>
      </c>
      <c r="CK796" s="683" t="str">
        <f t="shared" si="70"/>
        <v/>
      </c>
      <c r="CL796" s="683" t="str">
        <f t="shared" si="71"/>
        <v/>
      </c>
      <c r="CM796" s="683" t="str">
        <f t="shared" si="72"/>
        <v/>
      </c>
      <c r="CN796" s="683" t="str">
        <f t="shared" si="73"/>
        <v/>
      </c>
      <c r="CO796" s="683" t="str">
        <f t="shared" si="74"/>
        <v/>
      </c>
      <c r="CP796" s="683" t="str">
        <f t="shared" si="75"/>
        <v/>
      </c>
      <c r="CQ796" s="683" t="str">
        <f t="shared" si="76"/>
        <v/>
      </c>
      <c r="CR796" s="683" t="str">
        <f t="shared" si="77"/>
        <v/>
      </c>
      <c r="CS796" s="683" t="str">
        <f t="shared" si="78"/>
        <v/>
      </c>
      <c r="CT796" s="683" t="str">
        <f t="shared" si="79"/>
        <v/>
      </c>
      <c r="CU796" s="683" t="str">
        <f t="shared" si="80"/>
        <v/>
      </c>
      <c r="CV796" s="683" t="str">
        <f t="shared" si="81"/>
        <v/>
      </c>
      <c r="CW796" s="683" t="str">
        <f t="shared" si="82"/>
        <v/>
      </c>
      <c r="CX796" s="683" t="str">
        <f t="shared" si="83"/>
        <v/>
      </c>
      <c r="CY796" s="683" t="str">
        <f t="shared" si="84"/>
        <v/>
      </c>
      <c r="CZ796" s="683" t="str">
        <f t="shared" si="85"/>
        <v/>
      </c>
      <c r="DA796" s="683" t="str">
        <f t="shared" si="86"/>
        <v/>
      </c>
      <c r="DB796" s="683" t="str">
        <f t="shared" si="87"/>
        <v/>
      </c>
      <c r="DC796" s="683" t="str">
        <f t="shared" si="88"/>
        <v/>
      </c>
      <c r="DD796" s="683" t="str">
        <f t="shared" si="89"/>
        <v/>
      </c>
      <c r="DE796" s="683" t="str">
        <f t="shared" si="90"/>
        <v/>
      </c>
      <c r="DF796" s="683" t="str">
        <f t="shared" si="91"/>
        <v/>
      </c>
      <c r="DG796" s="683" t="str">
        <f t="shared" si="92"/>
        <v/>
      </c>
      <c r="DH796" s="683" t="str">
        <f t="shared" si="93"/>
        <v/>
      </c>
      <c r="DI796" s="683" t="str">
        <f t="shared" si="94"/>
        <v/>
      </c>
      <c r="DJ796" s="683" t="str">
        <f t="shared" si="95"/>
        <v/>
      </c>
      <c r="DK796" s="683" t="str">
        <f t="shared" si="96"/>
        <v/>
      </c>
      <c r="DL796" s="683" t="str">
        <f t="shared" si="97"/>
        <v/>
      </c>
      <c r="DM796" s="683" t="str">
        <f t="shared" si="98"/>
        <v/>
      </c>
      <c r="DN796" s="683" t="str">
        <f t="shared" si="99"/>
        <v/>
      </c>
      <c r="DO796" s="683" t="str">
        <f t="shared" si="100"/>
        <v/>
      </c>
      <c r="DP796" s="683" t="str">
        <f t="shared" si="101"/>
        <v/>
      </c>
      <c r="DQ796" s="683" t="str">
        <f t="shared" si="102"/>
        <v/>
      </c>
      <c r="DR796" s="683" t="str">
        <f t="shared" si="103"/>
        <v/>
      </c>
      <c r="DS796" s="683" t="str">
        <f t="shared" si="104"/>
        <v/>
      </c>
      <c r="DT796" s="683" t="str">
        <f t="shared" si="105"/>
        <v/>
      </c>
      <c r="DU796" s="683" t="str">
        <f t="shared" si="106"/>
        <v/>
      </c>
      <c r="DV796" s="683" t="str">
        <f t="shared" si="107"/>
        <v/>
      </c>
      <c r="DW796" s="683" t="str">
        <f t="shared" si="108"/>
        <v/>
      </c>
      <c r="DX796" s="683" t="str">
        <f t="shared" si="109"/>
        <v/>
      </c>
      <c r="DY796" s="683" t="str">
        <f t="shared" si="110"/>
        <v/>
      </c>
      <c r="DZ796" s="683" t="str">
        <f t="shared" si="111"/>
        <v/>
      </c>
      <c r="EA796" s="683" t="str">
        <f t="shared" si="112"/>
        <v/>
      </c>
      <c r="EB796" s="683" t="str">
        <f t="shared" si="113"/>
        <v/>
      </c>
      <c r="EC796" s="683" t="str">
        <f t="shared" si="114"/>
        <v/>
      </c>
      <c r="ED796" s="683" t="str">
        <f t="shared" si="115"/>
        <v/>
      </c>
      <c r="EE796" s="683" t="str">
        <f t="shared" si="116"/>
        <v/>
      </c>
      <c r="EF796" s="683" t="str">
        <f t="shared" si="117"/>
        <v/>
      </c>
      <c r="EG796" s="683" t="str">
        <f t="shared" si="118"/>
        <v/>
      </c>
      <c r="EH796" s="683" t="str">
        <f t="shared" si="119"/>
        <v/>
      </c>
      <c r="EI796" s="683" t="str">
        <f t="shared" si="120"/>
        <v/>
      </c>
      <c r="EJ796" s="683" t="str">
        <f t="shared" si="121"/>
        <v/>
      </c>
      <c r="EK796" s="683" t="str">
        <f t="shared" si="122"/>
        <v/>
      </c>
      <c r="EL796" s="683" t="str">
        <f t="shared" si="123"/>
        <v/>
      </c>
      <c r="EM796" s="683" t="str">
        <f t="shared" si="124"/>
        <v/>
      </c>
      <c r="EN796" s="683" t="str">
        <f t="shared" si="125"/>
        <v/>
      </c>
      <c r="EO796" s="683" t="str">
        <f t="shared" si="126"/>
        <v/>
      </c>
      <c r="EP796" s="683" t="str">
        <f t="shared" si="127"/>
        <v/>
      </c>
      <c r="EQ796" s="683" t="str">
        <f t="shared" si="128"/>
        <v/>
      </c>
      <c r="ER796" s="683" t="str">
        <f t="shared" si="129"/>
        <v/>
      </c>
      <c r="ES796" s="683" t="str">
        <f t="shared" si="130"/>
        <v/>
      </c>
      <c r="ET796" s="683" t="str">
        <f t="shared" si="131"/>
        <v/>
      </c>
      <c r="EU796" s="683" t="str">
        <f t="shared" si="132"/>
        <v/>
      </c>
      <c r="EV796" s="683" t="str">
        <f t="shared" si="133"/>
        <v/>
      </c>
      <c r="EW796" s="1854" t="str">
        <f t="shared" si="134"/>
        <v/>
      </c>
      <c r="EX796" s="1854" t="str">
        <f t="shared" si="135"/>
        <v/>
      </c>
      <c r="EY796" s="1854" t="str">
        <f t="shared" si="136"/>
        <v/>
      </c>
      <c r="EZ796" s="1854" t="str">
        <f t="shared" si="137"/>
        <v/>
      </c>
      <c r="FA796" s="1854" t="str">
        <f t="shared" si="138"/>
        <v/>
      </c>
      <c r="FB796" s="1854" t="str">
        <f t="shared" si="139"/>
        <v/>
      </c>
      <c r="FC796" s="1854" t="str">
        <f t="shared" si="140"/>
        <v/>
      </c>
      <c r="FD796" s="1854" t="str">
        <f t="shared" si="141"/>
        <v/>
      </c>
      <c r="FE796" s="1854" t="str">
        <f t="shared" si="142"/>
        <v/>
      </c>
      <c r="FF796" s="1854" t="str">
        <f t="shared" si="143"/>
        <v/>
      </c>
      <c r="FG796" s="1854" t="str">
        <f t="shared" si="144"/>
        <v/>
      </c>
      <c r="FH796" s="1854" t="str">
        <f t="shared" si="145"/>
        <v/>
      </c>
      <c r="FI796" s="1854" t="str">
        <f t="shared" si="146"/>
        <v/>
      </c>
      <c r="FJ796" s="1854" t="str">
        <f t="shared" si="147"/>
        <v/>
      </c>
      <c r="FK796" s="1854" t="str">
        <f t="shared" si="148"/>
        <v/>
      </c>
      <c r="FL796" s="1854" t="str">
        <f t="shared" si="149"/>
        <v/>
      </c>
      <c r="FM796" s="1854" t="str">
        <f t="shared" si="150"/>
        <v/>
      </c>
      <c r="FN796" s="1854" t="str">
        <f t="shared" si="151"/>
        <v/>
      </c>
      <c r="FO796" s="1854" t="str">
        <f t="shared" si="152"/>
        <v/>
      </c>
      <c r="FP796" s="1854" t="str">
        <f t="shared" si="153"/>
        <v/>
      </c>
      <c r="FQ796" s="1854" t="str">
        <f t="shared" si="154"/>
        <v/>
      </c>
      <c r="FR796" s="1854" t="str">
        <f t="shared" si="155"/>
        <v/>
      </c>
      <c r="FS796" s="1854" t="str">
        <f t="shared" si="156"/>
        <v/>
      </c>
      <c r="FT796" s="1854" t="str">
        <f t="shared" si="157"/>
        <v/>
      </c>
      <c r="FU796" s="1854" t="str">
        <f t="shared" si="158"/>
        <v/>
      </c>
      <c r="FV796" s="1854" t="str">
        <f t="shared" si="159"/>
        <v/>
      </c>
      <c r="FW796" s="1854" t="str">
        <f t="shared" si="160"/>
        <v/>
      </c>
      <c r="FX796" s="1854" t="str">
        <f t="shared" si="161"/>
        <v/>
      </c>
      <c r="FY796" s="1854" t="str">
        <f t="shared" si="162"/>
        <v/>
      </c>
      <c r="FZ796" s="1854" t="str">
        <f t="shared" si="163"/>
        <v/>
      </c>
      <c r="GA796" s="1854" t="str">
        <f t="shared" si="164"/>
        <v/>
      </c>
      <c r="GB796" s="1854" t="str">
        <f t="shared" si="165"/>
        <v/>
      </c>
      <c r="GC796" s="1854" t="str">
        <f t="shared" si="166"/>
        <v/>
      </c>
      <c r="GD796" s="1854" t="str">
        <f t="shared" si="167"/>
        <v/>
      </c>
      <c r="GE796" s="1854" t="str">
        <f t="shared" si="168"/>
        <v/>
      </c>
      <c r="GF796" s="1854" t="str">
        <f t="shared" si="169"/>
        <v/>
      </c>
      <c r="GG796" s="1854" t="str">
        <f t="shared" si="170"/>
        <v/>
      </c>
      <c r="GH796" s="1854" t="str">
        <f t="shared" si="171"/>
        <v/>
      </c>
      <c r="GI796" s="1854" t="str">
        <f t="shared" si="172"/>
        <v/>
      </c>
      <c r="GJ796" s="1854" t="str">
        <f t="shared" si="173"/>
        <v/>
      </c>
      <c r="GK796" s="1854" t="str">
        <f t="shared" si="174"/>
        <v/>
      </c>
      <c r="GL796" s="1854" t="str">
        <f t="shared" si="175"/>
        <v/>
      </c>
      <c r="GM796" s="1854" t="str">
        <f t="shared" si="176"/>
        <v/>
      </c>
      <c r="GN796" s="1854" t="str">
        <f t="shared" si="177"/>
        <v/>
      </c>
      <c r="GO796" s="1854" t="str">
        <f t="shared" si="178"/>
        <v/>
      </c>
      <c r="GP796" s="1854" t="str">
        <f t="shared" si="179"/>
        <v/>
      </c>
      <c r="GQ796" s="1854" t="str">
        <f t="shared" si="180"/>
        <v/>
      </c>
      <c r="GR796" s="1854" t="str">
        <f t="shared" si="181"/>
        <v/>
      </c>
      <c r="GS796" s="1854" t="str">
        <f t="shared" si="182"/>
        <v/>
      </c>
      <c r="GT796" s="1854" t="str">
        <f t="shared" si="183"/>
        <v/>
      </c>
      <c r="GU796" s="1854" t="str">
        <f t="shared" si="184"/>
        <v/>
      </c>
      <c r="GV796" s="1854" t="str">
        <f t="shared" si="185"/>
        <v/>
      </c>
      <c r="GW796" s="1854" t="str">
        <f t="shared" si="186"/>
        <v/>
      </c>
      <c r="GX796" s="1854" t="str">
        <f t="shared" si="187"/>
        <v/>
      </c>
      <c r="GY796" s="1854" t="str">
        <f t="shared" si="188"/>
        <v/>
      </c>
      <c r="GZ796" s="1854" t="str">
        <f t="shared" si="189"/>
        <v/>
      </c>
      <c r="HA796" s="1854" t="str">
        <f t="shared" si="190"/>
        <v/>
      </c>
      <c r="HB796" s="1854" t="str">
        <f t="shared" si="191"/>
        <v/>
      </c>
      <c r="HC796" s="1854" t="str">
        <f t="shared" si="192"/>
        <v/>
      </c>
      <c r="HD796" s="1854" t="str">
        <f t="shared" si="193"/>
        <v/>
      </c>
      <c r="HE796" s="1854" t="str">
        <f t="shared" si="194"/>
        <v/>
      </c>
      <c r="HF796" s="1854" t="str">
        <f t="shared" si="195"/>
        <v/>
      </c>
      <c r="HG796" s="1854" t="str">
        <f t="shared" si="196"/>
        <v/>
      </c>
      <c r="HH796" s="1854" t="str">
        <f t="shared" si="197"/>
        <v/>
      </c>
      <c r="HI796" s="1854" t="str">
        <f t="shared" si="198"/>
        <v/>
      </c>
      <c r="HJ796" s="1854" t="str">
        <f t="shared" si="199"/>
        <v/>
      </c>
      <c r="HK796" s="1854" t="str">
        <f t="shared" si="200"/>
        <v/>
      </c>
      <c r="HL796" s="1854" t="str">
        <f t="shared" si="201"/>
        <v/>
      </c>
      <c r="HM796" s="1854" t="str">
        <f t="shared" si="202"/>
        <v/>
      </c>
      <c r="HN796" s="1854" t="str">
        <f t="shared" si="203"/>
        <v/>
      </c>
      <c r="HO796" s="1854" t="str">
        <f t="shared" si="204"/>
        <v/>
      </c>
      <c r="HP796" s="1854" t="str">
        <f t="shared" si="205"/>
        <v/>
      </c>
      <c r="HQ796" s="1854" t="str">
        <f t="shared" si="206"/>
        <v/>
      </c>
      <c r="HR796" s="1854" t="str">
        <f t="shared" si="207"/>
        <v/>
      </c>
      <c r="HS796" s="1854" t="str">
        <f t="shared" si="208"/>
        <v/>
      </c>
      <c r="HT796" s="1854" t="str">
        <f t="shared" si="209"/>
        <v/>
      </c>
      <c r="HU796" s="1854" t="str">
        <f t="shared" si="210"/>
        <v/>
      </c>
      <c r="HV796" s="1854" t="str">
        <f t="shared" si="211"/>
        <v/>
      </c>
      <c r="HW796" s="1854" t="str">
        <f t="shared" si="212"/>
        <v/>
      </c>
      <c r="HX796" s="1854" t="str">
        <f t="shared" si="213"/>
        <v/>
      </c>
      <c r="HY796" s="1854" t="str">
        <f t="shared" si="214"/>
        <v/>
      </c>
      <c r="HZ796" s="1854" t="str">
        <f t="shared" si="215"/>
        <v/>
      </c>
      <c r="IA796" s="1854" t="str">
        <f t="shared" si="216"/>
        <v/>
      </c>
      <c r="IB796" s="1854" t="str">
        <f t="shared" si="217"/>
        <v/>
      </c>
      <c r="IC796" s="1854" t="str">
        <f t="shared" si="218"/>
        <v/>
      </c>
      <c r="ID796" s="1826" t="str">
        <f t="shared" si="219"/>
        <v/>
      </c>
      <c r="IE796" s="1826" t="str">
        <f t="shared" si="220"/>
        <v/>
      </c>
      <c r="IF796" s="1826" t="str">
        <f t="shared" si="221"/>
        <v/>
      </c>
      <c r="IG796" s="1826" t="str">
        <f t="shared" si="222"/>
        <v/>
      </c>
      <c r="IH796" s="1826" t="str">
        <f t="shared" si="223"/>
        <v/>
      </c>
      <c r="II796" s="683" t="str">
        <f t="shared" si="224"/>
        <v/>
      </c>
      <c r="IJ796" s="683" t="str">
        <f t="shared" si="225"/>
        <v/>
      </c>
      <c r="IK796" s="683" t="str">
        <f t="shared" si="226"/>
        <v/>
      </c>
      <c r="IL796" s="683" t="str">
        <f t="shared" si="227"/>
        <v/>
      </c>
      <c r="IM796" s="683" t="str">
        <f t="shared" si="228"/>
        <v/>
      </c>
      <c r="IN796" s="683" t="str">
        <f t="shared" si="229"/>
        <v/>
      </c>
      <c r="IO796" s="683" t="str">
        <f t="shared" si="230"/>
        <v/>
      </c>
      <c r="IP796" s="683" t="str">
        <f t="shared" si="231"/>
        <v/>
      </c>
      <c r="IQ796" s="683" t="str">
        <f t="shared" si="232"/>
        <v/>
      </c>
      <c r="IR796" s="683" t="str">
        <f t="shared" si="233"/>
        <v/>
      </c>
      <c r="IS796" s="683" t="str">
        <f t="shared" si="234"/>
        <v/>
      </c>
      <c r="IT796" s="683" t="str">
        <f t="shared" si="235"/>
        <v/>
      </c>
      <c r="IU796" s="683" t="str">
        <f t="shared" si="236"/>
        <v/>
      </c>
      <c r="IV796" s="683" t="str">
        <f t="shared" si="237"/>
        <v/>
      </c>
      <c r="IW796" s="683" t="str">
        <f t="shared" si="238"/>
        <v/>
      </c>
      <c r="IX796" s="683" t="str">
        <f t="shared" si="239"/>
        <v/>
      </c>
      <c r="IY796" s="683" t="str">
        <f t="shared" si="240"/>
        <v/>
      </c>
      <c r="IZ796" s="683" t="str">
        <f t="shared" si="241"/>
        <v/>
      </c>
      <c r="JA796" s="683" t="str">
        <f t="shared" si="242"/>
        <v/>
      </c>
      <c r="JB796" s="683" t="str">
        <f t="shared" si="243"/>
        <v/>
      </c>
      <c r="JC796" s="1824">
        <f t="shared" si="244"/>
        <v>0</v>
      </c>
      <c r="JD796" s="1824">
        <f t="shared" si="245"/>
        <v>0</v>
      </c>
      <c r="JE796" s="1824">
        <f t="shared" si="246"/>
        <v>0</v>
      </c>
      <c r="JF796" s="1824">
        <f t="shared" si="247"/>
        <v>0</v>
      </c>
      <c r="JG796" s="1824">
        <f t="shared" si="248"/>
        <v>0</v>
      </c>
      <c r="JH796" s="1824">
        <f t="shared" si="249"/>
        <v>0</v>
      </c>
      <c r="JI796" s="1824">
        <f t="shared" si="250"/>
        <v>0</v>
      </c>
      <c r="JJ796" s="1824">
        <f t="shared" si="251"/>
        <v>0</v>
      </c>
      <c r="JK796" s="1824">
        <f t="shared" si="252"/>
        <v>0</v>
      </c>
      <c r="JL796" s="1824">
        <f t="shared" si="253"/>
        <v>0</v>
      </c>
      <c r="JM796" s="1824">
        <f t="shared" si="254"/>
        <v>0</v>
      </c>
      <c r="JN796" s="1824">
        <f t="shared" si="255"/>
        <v>0</v>
      </c>
      <c r="JO796" s="1824">
        <f t="shared" si="256"/>
        <v>0</v>
      </c>
      <c r="JP796" s="1824">
        <f t="shared" si="257"/>
        <v>0</v>
      </c>
      <c r="JQ796" s="1824">
        <f t="shared" si="258"/>
        <v>0</v>
      </c>
    </row>
    <row r="797" spans="1:277" ht="12" customHeight="1">
      <c r="A797" s="1837" t="str">
        <f t="shared" si="1"/>
        <v/>
      </c>
      <c r="B797" s="1846" t="str">
        <f>'Part VI-Revenues &amp; Expenses'!B40</f>
        <v>&lt;&lt;Select&gt;&gt;</v>
      </c>
      <c r="C797" s="1847">
        <f>'Part VI-Revenues &amp; Expenses'!C40</f>
        <v>0</v>
      </c>
      <c r="D797" s="1848">
        <f>'Part VI-Revenues &amp; Expenses'!D40</f>
        <v>0</v>
      </c>
      <c r="E797" s="1849">
        <f>'Part VI-Revenues &amp; Expenses'!E40</f>
        <v>0</v>
      </c>
      <c r="F797" s="1849">
        <f>'Part VI-Revenues &amp; Expenses'!F40</f>
        <v>0</v>
      </c>
      <c r="G797" s="1849">
        <f>'Part VI-Revenues &amp; Expenses'!G40</f>
        <v>0</v>
      </c>
      <c r="H797" s="1849">
        <f>'Part VI-Revenues &amp; Expenses'!H40</f>
        <v>0</v>
      </c>
      <c r="I797" s="1849">
        <f>'Part VI-Revenues &amp; Expenses'!I40</f>
        <v>0</v>
      </c>
      <c r="J797" s="1850">
        <f>'Part VI-Revenues &amp; Expenses'!J40</f>
        <v>0</v>
      </c>
      <c r="K797" s="1851">
        <f t="shared" si="2"/>
        <v>0</v>
      </c>
      <c r="L797" s="1851">
        <f t="shared" si="3"/>
        <v>0</v>
      </c>
      <c r="M797" s="1725">
        <f>'Part VI-Revenues &amp; Expenses'!M40</f>
        <v>0</v>
      </c>
      <c r="N797" s="1725">
        <f>'Part VI-Revenues &amp; Expenses'!N40</f>
        <v>0</v>
      </c>
      <c r="O797" s="1725">
        <f>'Part VI-Revenues &amp; Expenses'!O40</f>
        <v>0</v>
      </c>
      <c r="P797" s="1831">
        <f>'Part VI-Revenues &amp; Expenses'!P40</f>
        <v>0</v>
      </c>
      <c r="Q797" s="1852" t="str">
        <f>'Part VI-Revenues &amp; Expenses'!Q40</f>
        <v/>
      </c>
      <c r="R797" s="1853" t="str">
        <f>'Part VI-Revenues &amp; Expenses'!R40</f>
        <v/>
      </c>
      <c r="S797" s="1852">
        <f>'Part VI-Revenues &amp; Expenses'!S40</f>
        <v>0</v>
      </c>
      <c r="T797" s="1853">
        <f>'Part VI-Revenues &amp; Expenses'!T40</f>
        <v>0</v>
      </c>
      <c r="U797" s="1775"/>
      <c r="V797" s="1775"/>
      <c r="W797" s="683" t="str">
        <f t="shared" si="4"/>
        <v/>
      </c>
      <c r="X797" s="683" t="str">
        <f t="shared" si="5"/>
        <v/>
      </c>
      <c r="Y797" s="683" t="str">
        <f t="shared" si="6"/>
        <v/>
      </c>
      <c r="Z797" s="683" t="str">
        <f t="shared" si="7"/>
        <v/>
      </c>
      <c r="AA797" s="683" t="str">
        <f t="shared" si="8"/>
        <v/>
      </c>
      <c r="AB797" s="683" t="str">
        <f t="shared" si="9"/>
        <v/>
      </c>
      <c r="AC797" s="683" t="str">
        <f t="shared" si="10"/>
        <v/>
      </c>
      <c r="AD797" s="683" t="str">
        <f t="shared" si="11"/>
        <v/>
      </c>
      <c r="AE797" s="683" t="str">
        <f t="shared" si="12"/>
        <v/>
      </c>
      <c r="AF797" s="683" t="str">
        <f t="shared" si="13"/>
        <v/>
      </c>
      <c r="AG797" s="683" t="str">
        <f t="shared" si="14"/>
        <v/>
      </c>
      <c r="AH797" s="683" t="str">
        <f t="shared" si="15"/>
        <v/>
      </c>
      <c r="AI797" s="683" t="str">
        <f t="shared" si="16"/>
        <v/>
      </c>
      <c r="AJ797" s="683" t="str">
        <f t="shared" si="17"/>
        <v/>
      </c>
      <c r="AK797" s="683" t="str">
        <f t="shared" si="18"/>
        <v/>
      </c>
      <c r="AL797" s="683" t="str">
        <f t="shared" si="19"/>
        <v/>
      </c>
      <c r="AM797" s="683" t="str">
        <f t="shared" si="20"/>
        <v/>
      </c>
      <c r="AN797" s="683" t="str">
        <f t="shared" si="21"/>
        <v/>
      </c>
      <c r="AO797" s="683" t="str">
        <f t="shared" si="22"/>
        <v/>
      </c>
      <c r="AP797" s="683" t="str">
        <f t="shared" si="23"/>
        <v/>
      </c>
      <c r="AQ797" s="683" t="str">
        <f t="shared" si="24"/>
        <v/>
      </c>
      <c r="AR797" s="683" t="str">
        <f t="shared" si="25"/>
        <v/>
      </c>
      <c r="AS797" s="683" t="str">
        <f t="shared" si="26"/>
        <v/>
      </c>
      <c r="AT797" s="683" t="str">
        <f t="shared" si="27"/>
        <v/>
      </c>
      <c r="AU797" s="683" t="str">
        <f t="shared" si="28"/>
        <v/>
      </c>
      <c r="AV797" s="683" t="str">
        <f t="shared" si="29"/>
        <v/>
      </c>
      <c r="AW797" s="683" t="str">
        <f t="shared" si="30"/>
        <v/>
      </c>
      <c r="AX797" s="683" t="str">
        <f t="shared" si="31"/>
        <v/>
      </c>
      <c r="AY797" s="683" t="str">
        <f t="shared" si="32"/>
        <v/>
      </c>
      <c r="AZ797" s="683" t="str">
        <f t="shared" si="33"/>
        <v/>
      </c>
      <c r="BA797" s="683" t="str">
        <f t="shared" si="34"/>
        <v/>
      </c>
      <c r="BB797" s="683" t="str">
        <f t="shared" si="35"/>
        <v/>
      </c>
      <c r="BC797" s="683" t="str">
        <f t="shared" si="36"/>
        <v/>
      </c>
      <c r="BD797" s="683" t="str">
        <f t="shared" si="37"/>
        <v/>
      </c>
      <c r="BE797" s="683" t="str">
        <f t="shared" si="38"/>
        <v/>
      </c>
      <c r="BF797" s="683" t="str">
        <f t="shared" si="39"/>
        <v/>
      </c>
      <c r="BG797" s="683" t="str">
        <f t="shared" si="40"/>
        <v/>
      </c>
      <c r="BH797" s="683" t="str">
        <f t="shared" si="41"/>
        <v/>
      </c>
      <c r="BI797" s="683" t="str">
        <f t="shared" si="42"/>
        <v/>
      </c>
      <c r="BJ797" s="683" t="str">
        <f t="shared" si="43"/>
        <v/>
      </c>
      <c r="BK797" s="683" t="str">
        <f t="shared" si="44"/>
        <v/>
      </c>
      <c r="BL797" s="683" t="str">
        <f t="shared" si="45"/>
        <v/>
      </c>
      <c r="BM797" s="683" t="str">
        <f t="shared" si="46"/>
        <v/>
      </c>
      <c r="BN797" s="683" t="str">
        <f t="shared" si="47"/>
        <v/>
      </c>
      <c r="BO797" s="683" t="str">
        <f t="shared" si="48"/>
        <v/>
      </c>
      <c r="BP797" s="683" t="str">
        <f t="shared" si="49"/>
        <v/>
      </c>
      <c r="BQ797" s="683" t="str">
        <f t="shared" si="50"/>
        <v/>
      </c>
      <c r="BR797" s="683" t="str">
        <f t="shared" si="51"/>
        <v/>
      </c>
      <c r="BS797" s="683" t="str">
        <f t="shared" si="52"/>
        <v/>
      </c>
      <c r="BT797" s="683" t="str">
        <f t="shared" si="53"/>
        <v/>
      </c>
      <c r="BU797" s="683" t="str">
        <f t="shared" si="54"/>
        <v/>
      </c>
      <c r="BV797" s="683" t="str">
        <f t="shared" si="55"/>
        <v/>
      </c>
      <c r="BW797" s="683" t="str">
        <f t="shared" si="56"/>
        <v/>
      </c>
      <c r="BX797" s="683" t="str">
        <f t="shared" si="57"/>
        <v/>
      </c>
      <c r="BY797" s="683" t="str">
        <f t="shared" si="58"/>
        <v/>
      </c>
      <c r="BZ797" s="683" t="str">
        <f t="shared" si="59"/>
        <v/>
      </c>
      <c r="CA797" s="683" t="str">
        <f t="shared" si="60"/>
        <v/>
      </c>
      <c r="CB797" s="683" t="str">
        <f t="shared" si="61"/>
        <v/>
      </c>
      <c r="CC797" s="683" t="str">
        <f t="shared" si="62"/>
        <v/>
      </c>
      <c r="CD797" s="683" t="str">
        <f t="shared" si="63"/>
        <v/>
      </c>
      <c r="CE797" s="683" t="str">
        <f t="shared" si="64"/>
        <v/>
      </c>
      <c r="CF797" s="683" t="str">
        <f t="shared" si="65"/>
        <v/>
      </c>
      <c r="CG797" s="683" t="str">
        <f t="shared" si="66"/>
        <v/>
      </c>
      <c r="CH797" s="683" t="str">
        <f t="shared" si="67"/>
        <v/>
      </c>
      <c r="CI797" s="683" t="str">
        <f t="shared" si="68"/>
        <v/>
      </c>
      <c r="CJ797" s="683" t="str">
        <f t="shared" si="69"/>
        <v/>
      </c>
      <c r="CK797" s="683" t="str">
        <f t="shared" si="70"/>
        <v/>
      </c>
      <c r="CL797" s="683" t="str">
        <f t="shared" si="71"/>
        <v/>
      </c>
      <c r="CM797" s="683" t="str">
        <f t="shared" si="72"/>
        <v/>
      </c>
      <c r="CN797" s="683" t="str">
        <f t="shared" si="73"/>
        <v/>
      </c>
      <c r="CO797" s="683" t="str">
        <f t="shared" si="74"/>
        <v/>
      </c>
      <c r="CP797" s="683" t="str">
        <f t="shared" si="75"/>
        <v/>
      </c>
      <c r="CQ797" s="683" t="str">
        <f t="shared" si="76"/>
        <v/>
      </c>
      <c r="CR797" s="683" t="str">
        <f t="shared" si="77"/>
        <v/>
      </c>
      <c r="CS797" s="683" t="str">
        <f t="shared" si="78"/>
        <v/>
      </c>
      <c r="CT797" s="683" t="str">
        <f t="shared" si="79"/>
        <v/>
      </c>
      <c r="CU797" s="683" t="str">
        <f t="shared" si="80"/>
        <v/>
      </c>
      <c r="CV797" s="683" t="str">
        <f t="shared" si="81"/>
        <v/>
      </c>
      <c r="CW797" s="683" t="str">
        <f t="shared" si="82"/>
        <v/>
      </c>
      <c r="CX797" s="683" t="str">
        <f t="shared" si="83"/>
        <v/>
      </c>
      <c r="CY797" s="683" t="str">
        <f t="shared" si="84"/>
        <v/>
      </c>
      <c r="CZ797" s="683" t="str">
        <f t="shared" si="85"/>
        <v/>
      </c>
      <c r="DA797" s="683" t="str">
        <f t="shared" si="86"/>
        <v/>
      </c>
      <c r="DB797" s="683" t="str">
        <f t="shared" si="87"/>
        <v/>
      </c>
      <c r="DC797" s="683" t="str">
        <f t="shared" si="88"/>
        <v/>
      </c>
      <c r="DD797" s="683" t="str">
        <f t="shared" si="89"/>
        <v/>
      </c>
      <c r="DE797" s="683" t="str">
        <f t="shared" si="90"/>
        <v/>
      </c>
      <c r="DF797" s="683" t="str">
        <f t="shared" si="91"/>
        <v/>
      </c>
      <c r="DG797" s="683" t="str">
        <f t="shared" si="92"/>
        <v/>
      </c>
      <c r="DH797" s="683" t="str">
        <f t="shared" si="93"/>
        <v/>
      </c>
      <c r="DI797" s="683" t="str">
        <f t="shared" si="94"/>
        <v/>
      </c>
      <c r="DJ797" s="683" t="str">
        <f t="shared" si="95"/>
        <v/>
      </c>
      <c r="DK797" s="683" t="str">
        <f t="shared" si="96"/>
        <v/>
      </c>
      <c r="DL797" s="683" t="str">
        <f t="shared" si="97"/>
        <v/>
      </c>
      <c r="DM797" s="683" t="str">
        <f t="shared" si="98"/>
        <v/>
      </c>
      <c r="DN797" s="683" t="str">
        <f t="shared" si="99"/>
        <v/>
      </c>
      <c r="DO797" s="683" t="str">
        <f t="shared" si="100"/>
        <v/>
      </c>
      <c r="DP797" s="683" t="str">
        <f t="shared" si="101"/>
        <v/>
      </c>
      <c r="DQ797" s="683" t="str">
        <f t="shared" si="102"/>
        <v/>
      </c>
      <c r="DR797" s="683" t="str">
        <f t="shared" si="103"/>
        <v/>
      </c>
      <c r="DS797" s="683" t="str">
        <f t="shared" si="104"/>
        <v/>
      </c>
      <c r="DT797" s="683" t="str">
        <f t="shared" si="105"/>
        <v/>
      </c>
      <c r="DU797" s="683" t="str">
        <f t="shared" si="106"/>
        <v/>
      </c>
      <c r="DV797" s="683" t="str">
        <f t="shared" si="107"/>
        <v/>
      </c>
      <c r="DW797" s="683" t="str">
        <f t="shared" si="108"/>
        <v/>
      </c>
      <c r="DX797" s="683" t="str">
        <f t="shared" si="109"/>
        <v/>
      </c>
      <c r="DY797" s="683" t="str">
        <f t="shared" si="110"/>
        <v/>
      </c>
      <c r="DZ797" s="683" t="str">
        <f t="shared" si="111"/>
        <v/>
      </c>
      <c r="EA797" s="683" t="str">
        <f t="shared" si="112"/>
        <v/>
      </c>
      <c r="EB797" s="683" t="str">
        <f t="shared" si="113"/>
        <v/>
      </c>
      <c r="EC797" s="683" t="str">
        <f t="shared" si="114"/>
        <v/>
      </c>
      <c r="ED797" s="683" t="str">
        <f t="shared" si="115"/>
        <v/>
      </c>
      <c r="EE797" s="683" t="str">
        <f t="shared" si="116"/>
        <v/>
      </c>
      <c r="EF797" s="683" t="str">
        <f t="shared" si="117"/>
        <v/>
      </c>
      <c r="EG797" s="683" t="str">
        <f t="shared" si="118"/>
        <v/>
      </c>
      <c r="EH797" s="683" t="str">
        <f t="shared" si="119"/>
        <v/>
      </c>
      <c r="EI797" s="683" t="str">
        <f t="shared" si="120"/>
        <v/>
      </c>
      <c r="EJ797" s="683" t="str">
        <f t="shared" si="121"/>
        <v/>
      </c>
      <c r="EK797" s="683" t="str">
        <f t="shared" si="122"/>
        <v/>
      </c>
      <c r="EL797" s="683" t="str">
        <f t="shared" si="123"/>
        <v/>
      </c>
      <c r="EM797" s="683" t="str">
        <f t="shared" si="124"/>
        <v/>
      </c>
      <c r="EN797" s="683" t="str">
        <f t="shared" si="125"/>
        <v/>
      </c>
      <c r="EO797" s="683" t="str">
        <f t="shared" si="126"/>
        <v/>
      </c>
      <c r="EP797" s="683" t="str">
        <f t="shared" si="127"/>
        <v/>
      </c>
      <c r="EQ797" s="683" t="str">
        <f t="shared" si="128"/>
        <v/>
      </c>
      <c r="ER797" s="683" t="str">
        <f t="shared" si="129"/>
        <v/>
      </c>
      <c r="ES797" s="683" t="str">
        <f t="shared" si="130"/>
        <v/>
      </c>
      <c r="ET797" s="683" t="str">
        <f t="shared" si="131"/>
        <v/>
      </c>
      <c r="EU797" s="683" t="str">
        <f t="shared" si="132"/>
        <v/>
      </c>
      <c r="EV797" s="683" t="str">
        <f t="shared" si="133"/>
        <v/>
      </c>
      <c r="EW797" s="1854" t="str">
        <f t="shared" si="134"/>
        <v/>
      </c>
      <c r="EX797" s="1854" t="str">
        <f t="shared" si="135"/>
        <v/>
      </c>
      <c r="EY797" s="1854" t="str">
        <f t="shared" si="136"/>
        <v/>
      </c>
      <c r="EZ797" s="1854" t="str">
        <f t="shared" si="137"/>
        <v/>
      </c>
      <c r="FA797" s="1854" t="str">
        <f t="shared" si="138"/>
        <v/>
      </c>
      <c r="FB797" s="1854" t="str">
        <f t="shared" si="139"/>
        <v/>
      </c>
      <c r="FC797" s="1854" t="str">
        <f t="shared" si="140"/>
        <v/>
      </c>
      <c r="FD797" s="1854" t="str">
        <f t="shared" si="141"/>
        <v/>
      </c>
      <c r="FE797" s="1854" t="str">
        <f t="shared" si="142"/>
        <v/>
      </c>
      <c r="FF797" s="1854" t="str">
        <f t="shared" si="143"/>
        <v/>
      </c>
      <c r="FG797" s="1854" t="str">
        <f t="shared" si="144"/>
        <v/>
      </c>
      <c r="FH797" s="1854" t="str">
        <f t="shared" si="145"/>
        <v/>
      </c>
      <c r="FI797" s="1854" t="str">
        <f t="shared" si="146"/>
        <v/>
      </c>
      <c r="FJ797" s="1854" t="str">
        <f t="shared" si="147"/>
        <v/>
      </c>
      <c r="FK797" s="1854" t="str">
        <f t="shared" si="148"/>
        <v/>
      </c>
      <c r="FL797" s="1854" t="str">
        <f t="shared" si="149"/>
        <v/>
      </c>
      <c r="FM797" s="1854" t="str">
        <f t="shared" si="150"/>
        <v/>
      </c>
      <c r="FN797" s="1854" t="str">
        <f t="shared" si="151"/>
        <v/>
      </c>
      <c r="FO797" s="1854" t="str">
        <f t="shared" si="152"/>
        <v/>
      </c>
      <c r="FP797" s="1854" t="str">
        <f t="shared" si="153"/>
        <v/>
      </c>
      <c r="FQ797" s="1854" t="str">
        <f t="shared" si="154"/>
        <v/>
      </c>
      <c r="FR797" s="1854" t="str">
        <f t="shared" si="155"/>
        <v/>
      </c>
      <c r="FS797" s="1854" t="str">
        <f t="shared" si="156"/>
        <v/>
      </c>
      <c r="FT797" s="1854" t="str">
        <f t="shared" si="157"/>
        <v/>
      </c>
      <c r="FU797" s="1854" t="str">
        <f t="shared" si="158"/>
        <v/>
      </c>
      <c r="FV797" s="1854" t="str">
        <f t="shared" si="159"/>
        <v/>
      </c>
      <c r="FW797" s="1854" t="str">
        <f t="shared" si="160"/>
        <v/>
      </c>
      <c r="FX797" s="1854" t="str">
        <f t="shared" si="161"/>
        <v/>
      </c>
      <c r="FY797" s="1854" t="str">
        <f t="shared" si="162"/>
        <v/>
      </c>
      <c r="FZ797" s="1854" t="str">
        <f t="shared" si="163"/>
        <v/>
      </c>
      <c r="GA797" s="1854" t="str">
        <f t="shared" si="164"/>
        <v/>
      </c>
      <c r="GB797" s="1854" t="str">
        <f t="shared" si="165"/>
        <v/>
      </c>
      <c r="GC797" s="1854" t="str">
        <f t="shared" si="166"/>
        <v/>
      </c>
      <c r="GD797" s="1854" t="str">
        <f t="shared" si="167"/>
        <v/>
      </c>
      <c r="GE797" s="1854" t="str">
        <f t="shared" si="168"/>
        <v/>
      </c>
      <c r="GF797" s="1854" t="str">
        <f t="shared" si="169"/>
        <v/>
      </c>
      <c r="GG797" s="1854" t="str">
        <f t="shared" si="170"/>
        <v/>
      </c>
      <c r="GH797" s="1854" t="str">
        <f t="shared" si="171"/>
        <v/>
      </c>
      <c r="GI797" s="1854" t="str">
        <f t="shared" si="172"/>
        <v/>
      </c>
      <c r="GJ797" s="1854" t="str">
        <f t="shared" si="173"/>
        <v/>
      </c>
      <c r="GK797" s="1854" t="str">
        <f t="shared" si="174"/>
        <v/>
      </c>
      <c r="GL797" s="1854" t="str">
        <f t="shared" si="175"/>
        <v/>
      </c>
      <c r="GM797" s="1854" t="str">
        <f t="shared" si="176"/>
        <v/>
      </c>
      <c r="GN797" s="1854" t="str">
        <f t="shared" si="177"/>
        <v/>
      </c>
      <c r="GO797" s="1854" t="str">
        <f t="shared" si="178"/>
        <v/>
      </c>
      <c r="GP797" s="1854" t="str">
        <f t="shared" si="179"/>
        <v/>
      </c>
      <c r="GQ797" s="1854" t="str">
        <f t="shared" si="180"/>
        <v/>
      </c>
      <c r="GR797" s="1854" t="str">
        <f t="shared" si="181"/>
        <v/>
      </c>
      <c r="GS797" s="1854" t="str">
        <f t="shared" si="182"/>
        <v/>
      </c>
      <c r="GT797" s="1854" t="str">
        <f t="shared" si="183"/>
        <v/>
      </c>
      <c r="GU797" s="1854" t="str">
        <f t="shared" si="184"/>
        <v/>
      </c>
      <c r="GV797" s="1854" t="str">
        <f t="shared" si="185"/>
        <v/>
      </c>
      <c r="GW797" s="1854" t="str">
        <f t="shared" si="186"/>
        <v/>
      </c>
      <c r="GX797" s="1854" t="str">
        <f t="shared" si="187"/>
        <v/>
      </c>
      <c r="GY797" s="1854" t="str">
        <f t="shared" si="188"/>
        <v/>
      </c>
      <c r="GZ797" s="1854" t="str">
        <f t="shared" si="189"/>
        <v/>
      </c>
      <c r="HA797" s="1854" t="str">
        <f t="shared" si="190"/>
        <v/>
      </c>
      <c r="HB797" s="1854" t="str">
        <f t="shared" si="191"/>
        <v/>
      </c>
      <c r="HC797" s="1854" t="str">
        <f t="shared" si="192"/>
        <v/>
      </c>
      <c r="HD797" s="1854" t="str">
        <f t="shared" si="193"/>
        <v/>
      </c>
      <c r="HE797" s="1854" t="str">
        <f t="shared" si="194"/>
        <v/>
      </c>
      <c r="HF797" s="1854" t="str">
        <f t="shared" si="195"/>
        <v/>
      </c>
      <c r="HG797" s="1854" t="str">
        <f t="shared" si="196"/>
        <v/>
      </c>
      <c r="HH797" s="1854" t="str">
        <f t="shared" si="197"/>
        <v/>
      </c>
      <c r="HI797" s="1854" t="str">
        <f t="shared" si="198"/>
        <v/>
      </c>
      <c r="HJ797" s="1854" t="str">
        <f t="shared" si="199"/>
        <v/>
      </c>
      <c r="HK797" s="1854" t="str">
        <f t="shared" si="200"/>
        <v/>
      </c>
      <c r="HL797" s="1854" t="str">
        <f t="shared" si="201"/>
        <v/>
      </c>
      <c r="HM797" s="1854" t="str">
        <f t="shared" si="202"/>
        <v/>
      </c>
      <c r="HN797" s="1854" t="str">
        <f t="shared" si="203"/>
        <v/>
      </c>
      <c r="HO797" s="1854" t="str">
        <f t="shared" si="204"/>
        <v/>
      </c>
      <c r="HP797" s="1854" t="str">
        <f t="shared" si="205"/>
        <v/>
      </c>
      <c r="HQ797" s="1854" t="str">
        <f t="shared" si="206"/>
        <v/>
      </c>
      <c r="HR797" s="1854" t="str">
        <f t="shared" si="207"/>
        <v/>
      </c>
      <c r="HS797" s="1854" t="str">
        <f t="shared" si="208"/>
        <v/>
      </c>
      <c r="HT797" s="1854" t="str">
        <f t="shared" si="209"/>
        <v/>
      </c>
      <c r="HU797" s="1854" t="str">
        <f t="shared" si="210"/>
        <v/>
      </c>
      <c r="HV797" s="1854" t="str">
        <f t="shared" si="211"/>
        <v/>
      </c>
      <c r="HW797" s="1854" t="str">
        <f t="shared" si="212"/>
        <v/>
      </c>
      <c r="HX797" s="1854" t="str">
        <f t="shared" si="213"/>
        <v/>
      </c>
      <c r="HY797" s="1854" t="str">
        <f t="shared" si="214"/>
        <v/>
      </c>
      <c r="HZ797" s="1854" t="str">
        <f t="shared" si="215"/>
        <v/>
      </c>
      <c r="IA797" s="1854" t="str">
        <f t="shared" si="216"/>
        <v/>
      </c>
      <c r="IB797" s="1854" t="str">
        <f t="shared" si="217"/>
        <v/>
      </c>
      <c r="IC797" s="1854" t="str">
        <f t="shared" si="218"/>
        <v/>
      </c>
      <c r="ID797" s="1826" t="str">
        <f t="shared" si="219"/>
        <v/>
      </c>
      <c r="IE797" s="1826" t="str">
        <f t="shared" si="220"/>
        <v/>
      </c>
      <c r="IF797" s="1826" t="str">
        <f t="shared" si="221"/>
        <v/>
      </c>
      <c r="IG797" s="1826" t="str">
        <f t="shared" si="222"/>
        <v/>
      </c>
      <c r="IH797" s="1826" t="str">
        <f t="shared" si="223"/>
        <v/>
      </c>
      <c r="II797" s="683" t="str">
        <f t="shared" si="224"/>
        <v/>
      </c>
      <c r="IJ797" s="683" t="str">
        <f t="shared" si="225"/>
        <v/>
      </c>
      <c r="IK797" s="683" t="str">
        <f t="shared" si="226"/>
        <v/>
      </c>
      <c r="IL797" s="683" t="str">
        <f t="shared" si="227"/>
        <v/>
      </c>
      <c r="IM797" s="683" t="str">
        <f t="shared" si="228"/>
        <v/>
      </c>
      <c r="IN797" s="683" t="str">
        <f t="shared" si="229"/>
        <v/>
      </c>
      <c r="IO797" s="683" t="str">
        <f t="shared" si="230"/>
        <v/>
      </c>
      <c r="IP797" s="683" t="str">
        <f t="shared" si="231"/>
        <v/>
      </c>
      <c r="IQ797" s="683" t="str">
        <f t="shared" si="232"/>
        <v/>
      </c>
      <c r="IR797" s="683" t="str">
        <f t="shared" si="233"/>
        <v/>
      </c>
      <c r="IS797" s="683" t="str">
        <f t="shared" si="234"/>
        <v/>
      </c>
      <c r="IT797" s="683" t="str">
        <f t="shared" si="235"/>
        <v/>
      </c>
      <c r="IU797" s="683" t="str">
        <f t="shared" si="236"/>
        <v/>
      </c>
      <c r="IV797" s="683" t="str">
        <f t="shared" si="237"/>
        <v/>
      </c>
      <c r="IW797" s="683" t="str">
        <f t="shared" si="238"/>
        <v/>
      </c>
      <c r="IX797" s="683" t="str">
        <f t="shared" si="239"/>
        <v/>
      </c>
      <c r="IY797" s="683" t="str">
        <f t="shared" si="240"/>
        <v/>
      </c>
      <c r="IZ797" s="683" t="str">
        <f t="shared" si="241"/>
        <v/>
      </c>
      <c r="JA797" s="683" t="str">
        <f t="shared" si="242"/>
        <v/>
      </c>
      <c r="JB797" s="683" t="str">
        <f t="shared" si="243"/>
        <v/>
      </c>
      <c r="JC797" s="1824">
        <f t="shared" si="244"/>
        <v>0</v>
      </c>
      <c r="JD797" s="1824">
        <f t="shared" si="245"/>
        <v>0</v>
      </c>
      <c r="JE797" s="1824">
        <f t="shared" si="246"/>
        <v>0</v>
      </c>
      <c r="JF797" s="1824">
        <f t="shared" si="247"/>
        <v>0</v>
      </c>
      <c r="JG797" s="1824">
        <f t="shared" si="248"/>
        <v>0</v>
      </c>
      <c r="JH797" s="1824">
        <f t="shared" si="249"/>
        <v>0</v>
      </c>
      <c r="JI797" s="1824">
        <f t="shared" si="250"/>
        <v>0</v>
      </c>
      <c r="JJ797" s="1824">
        <f t="shared" si="251"/>
        <v>0</v>
      </c>
      <c r="JK797" s="1824">
        <f t="shared" si="252"/>
        <v>0</v>
      </c>
      <c r="JL797" s="1824">
        <f t="shared" si="253"/>
        <v>0</v>
      </c>
      <c r="JM797" s="1824">
        <f t="shared" si="254"/>
        <v>0</v>
      </c>
      <c r="JN797" s="1824">
        <f t="shared" si="255"/>
        <v>0</v>
      </c>
      <c r="JO797" s="1824">
        <f t="shared" si="256"/>
        <v>0</v>
      </c>
      <c r="JP797" s="1824">
        <f t="shared" si="257"/>
        <v>0</v>
      </c>
      <c r="JQ797" s="1824">
        <f t="shared" si="258"/>
        <v>0</v>
      </c>
    </row>
    <row r="798" spans="1:277" ht="12" customHeight="1">
      <c r="A798" s="1837" t="str">
        <f t="shared" si="1"/>
        <v/>
      </c>
      <c r="B798" s="1846" t="str">
        <f>'Part VI-Revenues &amp; Expenses'!B41</f>
        <v>&lt;&lt;Select&gt;&gt;</v>
      </c>
      <c r="C798" s="1847">
        <f>'Part VI-Revenues &amp; Expenses'!C41</f>
        <v>0</v>
      </c>
      <c r="D798" s="1848">
        <f>'Part VI-Revenues &amp; Expenses'!D41</f>
        <v>0</v>
      </c>
      <c r="E798" s="1849">
        <f>'Part VI-Revenues &amp; Expenses'!E41</f>
        <v>0</v>
      </c>
      <c r="F798" s="1849">
        <f>'Part VI-Revenues &amp; Expenses'!F41</f>
        <v>0</v>
      </c>
      <c r="G798" s="1849">
        <f>'Part VI-Revenues &amp; Expenses'!G41</f>
        <v>0</v>
      </c>
      <c r="H798" s="1849">
        <f>'Part VI-Revenues &amp; Expenses'!H41</f>
        <v>0</v>
      </c>
      <c r="I798" s="1849">
        <f>'Part VI-Revenues &amp; Expenses'!I41</f>
        <v>0</v>
      </c>
      <c r="J798" s="1850">
        <f>'Part VI-Revenues &amp; Expenses'!J41</f>
        <v>0</v>
      </c>
      <c r="K798" s="1851">
        <f t="shared" si="2"/>
        <v>0</v>
      </c>
      <c r="L798" s="1851">
        <f t="shared" si="3"/>
        <v>0</v>
      </c>
      <c r="M798" s="1725">
        <f>'Part VI-Revenues &amp; Expenses'!M41</f>
        <v>0</v>
      </c>
      <c r="N798" s="1725">
        <f>'Part VI-Revenues &amp; Expenses'!N41</f>
        <v>0</v>
      </c>
      <c r="O798" s="1725">
        <f>'Part VI-Revenues &amp; Expenses'!O41</f>
        <v>0</v>
      </c>
      <c r="P798" s="1831">
        <f>'Part VI-Revenues &amp; Expenses'!P41</f>
        <v>0</v>
      </c>
      <c r="Q798" s="1852" t="str">
        <f>'Part VI-Revenues &amp; Expenses'!Q41</f>
        <v/>
      </c>
      <c r="R798" s="1853" t="str">
        <f>'Part VI-Revenues &amp; Expenses'!R41</f>
        <v/>
      </c>
      <c r="S798" s="1852">
        <f>'Part VI-Revenues &amp; Expenses'!S41</f>
        <v>0</v>
      </c>
      <c r="T798" s="1853">
        <f>'Part VI-Revenues &amp; Expenses'!T41</f>
        <v>0</v>
      </c>
      <c r="U798" s="1775"/>
      <c r="V798" s="1775"/>
      <c r="W798" s="683" t="str">
        <f t="shared" si="4"/>
        <v/>
      </c>
      <c r="X798" s="683" t="str">
        <f t="shared" si="5"/>
        <v/>
      </c>
      <c r="Y798" s="683" t="str">
        <f t="shared" si="6"/>
        <v/>
      </c>
      <c r="Z798" s="683" t="str">
        <f t="shared" si="7"/>
        <v/>
      </c>
      <c r="AA798" s="683" t="str">
        <f t="shared" si="8"/>
        <v/>
      </c>
      <c r="AB798" s="683" t="str">
        <f t="shared" si="9"/>
        <v/>
      </c>
      <c r="AC798" s="683" t="str">
        <f t="shared" si="10"/>
        <v/>
      </c>
      <c r="AD798" s="683" t="str">
        <f t="shared" si="11"/>
        <v/>
      </c>
      <c r="AE798" s="683" t="str">
        <f t="shared" si="12"/>
        <v/>
      </c>
      <c r="AF798" s="683" t="str">
        <f t="shared" si="13"/>
        <v/>
      </c>
      <c r="AG798" s="683" t="str">
        <f t="shared" si="14"/>
        <v/>
      </c>
      <c r="AH798" s="683" t="str">
        <f t="shared" si="15"/>
        <v/>
      </c>
      <c r="AI798" s="683" t="str">
        <f t="shared" si="16"/>
        <v/>
      </c>
      <c r="AJ798" s="683" t="str">
        <f t="shared" si="17"/>
        <v/>
      </c>
      <c r="AK798" s="683" t="str">
        <f t="shared" si="18"/>
        <v/>
      </c>
      <c r="AL798" s="683" t="str">
        <f t="shared" si="19"/>
        <v/>
      </c>
      <c r="AM798" s="683" t="str">
        <f t="shared" si="20"/>
        <v/>
      </c>
      <c r="AN798" s="683" t="str">
        <f t="shared" si="21"/>
        <v/>
      </c>
      <c r="AO798" s="683" t="str">
        <f t="shared" si="22"/>
        <v/>
      </c>
      <c r="AP798" s="683" t="str">
        <f t="shared" si="23"/>
        <v/>
      </c>
      <c r="AQ798" s="683" t="str">
        <f t="shared" si="24"/>
        <v/>
      </c>
      <c r="AR798" s="683" t="str">
        <f t="shared" si="25"/>
        <v/>
      </c>
      <c r="AS798" s="683" t="str">
        <f t="shared" si="26"/>
        <v/>
      </c>
      <c r="AT798" s="683" t="str">
        <f t="shared" si="27"/>
        <v/>
      </c>
      <c r="AU798" s="683" t="str">
        <f t="shared" si="28"/>
        <v/>
      </c>
      <c r="AV798" s="683" t="str">
        <f t="shared" si="29"/>
        <v/>
      </c>
      <c r="AW798" s="683" t="str">
        <f t="shared" si="30"/>
        <v/>
      </c>
      <c r="AX798" s="683" t="str">
        <f t="shared" si="31"/>
        <v/>
      </c>
      <c r="AY798" s="683" t="str">
        <f t="shared" si="32"/>
        <v/>
      </c>
      <c r="AZ798" s="683" t="str">
        <f t="shared" si="33"/>
        <v/>
      </c>
      <c r="BA798" s="683" t="str">
        <f t="shared" si="34"/>
        <v/>
      </c>
      <c r="BB798" s="683" t="str">
        <f t="shared" si="35"/>
        <v/>
      </c>
      <c r="BC798" s="683" t="str">
        <f t="shared" si="36"/>
        <v/>
      </c>
      <c r="BD798" s="683" t="str">
        <f t="shared" si="37"/>
        <v/>
      </c>
      <c r="BE798" s="683" t="str">
        <f t="shared" si="38"/>
        <v/>
      </c>
      <c r="BF798" s="683" t="str">
        <f t="shared" si="39"/>
        <v/>
      </c>
      <c r="BG798" s="683" t="str">
        <f t="shared" si="40"/>
        <v/>
      </c>
      <c r="BH798" s="683" t="str">
        <f t="shared" si="41"/>
        <v/>
      </c>
      <c r="BI798" s="683" t="str">
        <f t="shared" si="42"/>
        <v/>
      </c>
      <c r="BJ798" s="683" t="str">
        <f t="shared" si="43"/>
        <v/>
      </c>
      <c r="BK798" s="683" t="str">
        <f t="shared" si="44"/>
        <v/>
      </c>
      <c r="BL798" s="683" t="str">
        <f t="shared" si="45"/>
        <v/>
      </c>
      <c r="BM798" s="683" t="str">
        <f t="shared" si="46"/>
        <v/>
      </c>
      <c r="BN798" s="683" t="str">
        <f t="shared" si="47"/>
        <v/>
      </c>
      <c r="BO798" s="683" t="str">
        <f t="shared" si="48"/>
        <v/>
      </c>
      <c r="BP798" s="683" t="str">
        <f t="shared" si="49"/>
        <v/>
      </c>
      <c r="BQ798" s="683" t="str">
        <f t="shared" si="50"/>
        <v/>
      </c>
      <c r="BR798" s="683" t="str">
        <f t="shared" si="51"/>
        <v/>
      </c>
      <c r="BS798" s="683" t="str">
        <f t="shared" si="52"/>
        <v/>
      </c>
      <c r="BT798" s="683" t="str">
        <f t="shared" si="53"/>
        <v/>
      </c>
      <c r="BU798" s="683" t="str">
        <f t="shared" si="54"/>
        <v/>
      </c>
      <c r="BV798" s="683" t="str">
        <f t="shared" si="55"/>
        <v/>
      </c>
      <c r="BW798" s="683" t="str">
        <f t="shared" si="56"/>
        <v/>
      </c>
      <c r="BX798" s="683" t="str">
        <f t="shared" si="57"/>
        <v/>
      </c>
      <c r="BY798" s="683" t="str">
        <f t="shared" si="58"/>
        <v/>
      </c>
      <c r="BZ798" s="683" t="str">
        <f t="shared" si="59"/>
        <v/>
      </c>
      <c r="CA798" s="683" t="str">
        <f t="shared" si="60"/>
        <v/>
      </c>
      <c r="CB798" s="683" t="str">
        <f t="shared" si="61"/>
        <v/>
      </c>
      <c r="CC798" s="683" t="str">
        <f t="shared" si="62"/>
        <v/>
      </c>
      <c r="CD798" s="683" t="str">
        <f t="shared" si="63"/>
        <v/>
      </c>
      <c r="CE798" s="683" t="str">
        <f t="shared" si="64"/>
        <v/>
      </c>
      <c r="CF798" s="683" t="str">
        <f t="shared" si="65"/>
        <v/>
      </c>
      <c r="CG798" s="683" t="str">
        <f t="shared" si="66"/>
        <v/>
      </c>
      <c r="CH798" s="683" t="str">
        <f t="shared" si="67"/>
        <v/>
      </c>
      <c r="CI798" s="683" t="str">
        <f t="shared" si="68"/>
        <v/>
      </c>
      <c r="CJ798" s="683" t="str">
        <f t="shared" si="69"/>
        <v/>
      </c>
      <c r="CK798" s="683" t="str">
        <f t="shared" si="70"/>
        <v/>
      </c>
      <c r="CL798" s="683" t="str">
        <f t="shared" si="71"/>
        <v/>
      </c>
      <c r="CM798" s="683" t="str">
        <f t="shared" si="72"/>
        <v/>
      </c>
      <c r="CN798" s="683" t="str">
        <f t="shared" si="73"/>
        <v/>
      </c>
      <c r="CO798" s="683" t="str">
        <f t="shared" si="74"/>
        <v/>
      </c>
      <c r="CP798" s="683" t="str">
        <f t="shared" si="75"/>
        <v/>
      </c>
      <c r="CQ798" s="683" t="str">
        <f t="shared" si="76"/>
        <v/>
      </c>
      <c r="CR798" s="683" t="str">
        <f t="shared" si="77"/>
        <v/>
      </c>
      <c r="CS798" s="683" t="str">
        <f t="shared" si="78"/>
        <v/>
      </c>
      <c r="CT798" s="683" t="str">
        <f t="shared" si="79"/>
        <v/>
      </c>
      <c r="CU798" s="683" t="str">
        <f t="shared" si="80"/>
        <v/>
      </c>
      <c r="CV798" s="683" t="str">
        <f t="shared" si="81"/>
        <v/>
      </c>
      <c r="CW798" s="683" t="str">
        <f t="shared" si="82"/>
        <v/>
      </c>
      <c r="CX798" s="683" t="str">
        <f t="shared" si="83"/>
        <v/>
      </c>
      <c r="CY798" s="683" t="str">
        <f t="shared" si="84"/>
        <v/>
      </c>
      <c r="CZ798" s="683" t="str">
        <f t="shared" si="85"/>
        <v/>
      </c>
      <c r="DA798" s="683" t="str">
        <f t="shared" si="86"/>
        <v/>
      </c>
      <c r="DB798" s="683" t="str">
        <f t="shared" si="87"/>
        <v/>
      </c>
      <c r="DC798" s="683" t="str">
        <f t="shared" si="88"/>
        <v/>
      </c>
      <c r="DD798" s="683" t="str">
        <f t="shared" si="89"/>
        <v/>
      </c>
      <c r="DE798" s="683" t="str">
        <f t="shared" si="90"/>
        <v/>
      </c>
      <c r="DF798" s="683" t="str">
        <f t="shared" si="91"/>
        <v/>
      </c>
      <c r="DG798" s="683" t="str">
        <f t="shared" si="92"/>
        <v/>
      </c>
      <c r="DH798" s="683" t="str">
        <f t="shared" si="93"/>
        <v/>
      </c>
      <c r="DI798" s="683" t="str">
        <f t="shared" si="94"/>
        <v/>
      </c>
      <c r="DJ798" s="683" t="str">
        <f t="shared" si="95"/>
        <v/>
      </c>
      <c r="DK798" s="683" t="str">
        <f t="shared" si="96"/>
        <v/>
      </c>
      <c r="DL798" s="683" t="str">
        <f t="shared" si="97"/>
        <v/>
      </c>
      <c r="DM798" s="683" t="str">
        <f t="shared" si="98"/>
        <v/>
      </c>
      <c r="DN798" s="683" t="str">
        <f t="shared" si="99"/>
        <v/>
      </c>
      <c r="DO798" s="683" t="str">
        <f t="shared" si="100"/>
        <v/>
      </c>
      <c r="DP798" s="683" t="str">
        <f t="shared" si="101"/>
        <v/>
      </c>
      <c r="DQ798" s="683" t="str">
        <f t="shared" si="102"/>
        <v/>
      </c>
      <c r="DR798" s="683" t="str">
        <f t="shared" si="103"/>
        <v/>
      </c>
      <c r="DS798" s="683" t="str">
        <f t="shared" si="104"/>
        <v/>
      </c>
      <c r="DT798" s="683" t="str">
        <f t="shared" si="105"/>
        <v/>
      </c>
      <c r="DU798" s="683" t="str">
        <f t="shared" si="106"/>
        <v/>
      </c>
      <c r="DV798" s="683" t="str">
        <f t="shared" si="107"/>
        <v/>
      </c>
      <c r="DW798" s="683" t="str">
        <f t="shared" si="108"/>
        <v/>
      </c>
      <c r="DX798" s="683" t="str">
        <f t="shared" si="109"/>
        <v/>
      </c>
      <c r="DY798" s="683" t="str">
        <f t="shared" si="110"/>
        <v/>
      </c>
      <c r="DZ798" s="683" t="str">
        <f t="shared" si="111"/>
        <v/>
      </c>
      <c r="EA798" s="683" t="str">
        <f t="shared" si="112"/>
        <v/>
      </c>
      <c r="EB798" s="683" t="str">
        <f t="shared" si="113"/>
        <v/>
      </c>
      <c r="EC798" s="683" t="str">
        <f t="shared" si="114"/>
        <v/>
      </c>
      <c r="ED798" s="683" t="str">
        <f t="shared" si="115"/>
        <v/>
      </c>
      <c r="EE798" s="683" t="str">
        <f t="shared" si="116"/>
        <v/>
      </c>
      <c r="EF798" s="683" t="str">
        <f t="shared" si="117"/>
        <v/>
      </c>
      <c r="EG798" s="683" t="str">
        <f t="shared" si="118"/>
        <v/>
      </c>
      <c r="EH798" s="683" t="str">
        <f t="shared" si="119"/>
        <v/>
      </c>
      <c r="EI798" s="683" t="str">
        <f t="shared" si="120"/>
        <v/>
      </c>
      <c r="EJ798" s="683" t="str">
        <f t="shared" si="121"/>
        <v/>
      </c>
      <c r="EK798" s="683" t="str">
        <f t="shared" si="122"/>
        <v/>
      </c>
      <c r="EL798" s="683" t="str">
        <f t="shared" si="123"/>
        <v/>
      </c>
      <c r="EM798" s="683" t="str">
        <f t="shared" si="124"/>
        <v/>
      </c>
      <c r="EN798" s="683" t="str">
        <f t="shared" si="125"/>
        <v/>
      </c>
      <c r="EO798" s="683" t="str">
        <f t="shared" si="126"/>
        <v/>
      </c>
      <c r="EP798" s="683" t="str">
        <f t="shared" si="127"/>
        <v/>
      </c>
      <c r="EQ798" s="683" t="str">
        <f t="shared" si="128"/>
        <v/>
      </c>
      <c r="ER798" s="683" t="str">
        <f t="shared" si="129"/>
        <v/>
      </c>
      <c r="ES798" s="683" t="str">
        <f t="shared" si="130"/>
        <v/>
      </c>
      <c r="ET798" s="683" t="str">
        <f t="shared" si="131"/>
        <v/>
      </c>
      <c r="EU798" s="683" t="str">
        <f t="shared" si="132"/>
        <v/>
      </c>
      <c r="EV798" s="683" t="str">
        <f t="shared" si="133"/>
        <v/>
      </c>
      <c r="EW798" s="1854" t="str">
        <f t="shared" si="134"/>
        <v/>
      </c>
      <c r="EX798" s="1854" t="str">
        <f t="shared" si="135"/>
        <v/>
      </c>
      <c r="EY798" s="1854" t="str">
        <f t="shared" si="136"/>
        <v/>
      </c>
      <c r="EZ798" s="1854" t="str">
        <f t="shared" si="137"/>
        <v/>
      </c>
      <c r="FA798" s="1854" t="str">
        <f t="shared" si="138"/>
        <v/>
      </c>
      <c r="FB798" s="1854" t="str">
        <f t="shared" si="139"/>
        <v/>
      </c>
      <c r="FC798" s="1854" t="str">
        <f t="shared" si="140"/>
        <v/>
      </c>
      <c r="FD798" s="1854" t="str">
        <f t="shared" si="141"/>
        <v/>
      </c>
      <c r="FE798" s="1854" t="str">
        <f t="shared" si="142"/>
        <v/>
      </c>
      <c r="FF798" s="1854" t="str">
        <f t="shared" si="143"/>
        <v/>
      </c>
      <c r="FG798" s="1854" t="str">
        <f t="shared" si="144"/>
        <v/>
      </c>
      <c r="FH798" s="1854" t="str">
        <f t="shared" si="145"/>
        <v/>
      </c>
      <c r="FI798" s="1854" t="str">
        <f t="shared" si="146"/>
        <v/>
      </c>
      <c r="FJ798" s="1854" t="str">
        <f t="shared" si="147"/>
        <v/>
      </c>
      <c r="FK798" s="1854" t="str">
        <f t="shared" si="148"/>
        <v/>
      </c>
      <c r="FL798" s="1854" t="str">
        <f t="shared" si="149"/>
        <v/>
      </c>
      <c r="FM798" s="1854" t="str">
        <f t="shared" si="150"/>
        <v/>
      </c>
      <c r="FN798" s="1854" t="str">
        <f t="shared" si="151"/>
        <v/>
      </c>
      <c r="FO798" s="1854" t="str">
        <f t="shared" si="152"/>
        <v/>
      </c>
      <c r="FP798" s="1854" t="str">
        <f t="shared" si="153"/>
        <v/>
      </c>
      <c r="FQ798" s="1854" t="str">
        <f t="shared" si="154"/>
        <v/>
      </c>
      <c r="FR798" s="1854" t="str">
        <f t="shared" si="155"/>
        <v/>
      </c>
      <c r="FS798" s="1854" t="str">
        <f t="shared" si="156"/>
        <v/>
      </c>
      <c r="FT798" s="1854" t="str">
        <f t="shared" si="157"/>
        <v/>
      </c>
      <c r="FU798" s="1854" t="str">
        <f t="shared" si="158"/>
        <v/>
      </c>
      <c r="FV798" s="1854" t="str">
        <f t="shared" si="159"/>
        <v/>
      </c>
      <c r="FW798" s="1854" t="str">
        <f t="shared" si="160"/>
        <v/>
      </c>
      <c r="FX798" s="1854" t="str">
        <f t="shared" si="161"/>
        <v/>
      </c>
      <c r="FY798" s="1854" t="str">
        <f t="shared" si="162"/>
        <v/>
      </c>
      <c r="FZ798" s="1854" t="str">
        <f t="shared" si="163"/>
        <v/>
      </c>
      <c r="GA798" s="1854" t="str">
        <f t="shared" si="164"/>
        <v/>
      </c>
      <c r="GB798" s="1854" t="str">
        <f t="shared" si="165"/>
        <v/>
      </c>
      <c r="GC798" s="1854" t="str">
        <f t="shared" si="166"/>
        <v/>
      </c>
      <c r="GD798" s="1854" t="str">
        <f t="shared" si="167"/>
        <v/>
      </c>
      <c r="GE798" s="1854" t="str">
        <f t="shared" si="168"/>
        <v/>
      </c>
      <c r="GF798" s="1854" t="str">
        <f t="shared" si="169"/>
        <v/>
      </c>
      <c r="GG798" s="1854" t="str">
        <f t="shared" si="170"/>
        <v/>
      </c>
      <c r="GH798" s="1854" t="str">
        <f t="shared" si="171"/>
        <v/>
      </c>
      <c r="GI798" s="1854" t="str">
        <f t="shared" si="172"/>
        <v/>
      </c>
      <c r="GJ798" s="1854" t="str">
        <f t="shared" si="173"/>
        <v/>
      </c>
      <c r="GK798" s="1854" t="str">
        <f t="shared" si="174"/>
        <v/>
      </c>
      <c r="GL798" s="1854" t="str">
        <f t="shared" si="175"/>
        <v/>
      </c>
      <c r="GM798" s="1854" t="str">
        <f t="shared" si="176"/>
        <v/>
      </c>
      <c r="GN798" s="1854" t="str">
        <f t="shared" si="177"/>
        <v/>
      </c>
      <c r="GO798" s="1854" t="str">
        <f t="shared" si="178"/>
        <v/>
      </c>
      <c r="GP798" s="1854" t="str">
        <f t="shared" si="179"/>
        <v/>
      </c>
      <c r="GQ798" s="1854" t="str">
        <f t="shared" si="180"/>
        <v/>
      </c>
      <c r="GR798" s="1854" t="str">
        <f t="shared" si="181"/>
        <v/>
      </c>
      <c r="GS798" s="1854" t="str">
        <f t="shared" si="182"/>
        <v/>
      </c>
      <c r="GT798" s="1854" t="str">
        <f t="shared" si="183"/>
        <v/>
      </c>
      <c r="GU798" s="1854" t="str">
        <f t="shared" si="184"/>
        <v/>
      </c>
      <c r="GV798" s="1854" t="str">
        <f t="shared" si="185"/>
        <v/>
      </c>
      <c r="GW798" s="1854" t="str">
        <f t="shared" si="186"/>
        <v/>
      </c>
      <c r="GX798" s="1854" t="str">
        <f t="shared" si="187"/>
        <v/>
      </c>
      <c r="GY798" s="1854" t="str">
        <f t="shared" si="188"/>
        <v/>
      </c>
      <c r="GZ798" s="1854" t="str">
        <f t="shared" si="189"/>
        <v/>
      </c>
      <c r="HA798" s="1854" t="str">
        <f t="shared" si="190"/>
        <v/>
      </c>
      <c r="HB798" s="1854" t="str">
        <f t="shared" si="191"/>
        <v/>
      </c>
      <c r="HC798" s="1854" t="str">
        <f t="shared" si="192"/>
        <v/>
      </c>
      <c r="HD798" s="1854" t="str">
        <f t="shared" si="193"/>
        <v/>
      </c>
      <c r="HE798" s="1854" t="str">
        <f t="shared" si="194"/>
        <v/>
      </c>
      <c r="HF798" s="1854" t="str">
        <f t="shared" si="195"/>
        <v/>
      </c>
      <c r="HG798" s="1854" t="str">
        <f t="shared" si="196"/>
        <v/>
      </c>
      <c r="HH798" s="1854" t="str">
        <f t="shared" si="197"/>
        <v/>
      </c>
      <c r="HI798" s="1854" t="str">
        <f t="shared" si="198"/>
        <v/>
      </c>
      <c r="HJ798" s="1854" t="str">
        <f t="shared" si="199"/>
        <v/>
      </c>
      <c r="HK798" s="1854" t="str">
        <f t="shared" si="200"/>
        <v/>
      </c>
      <c r="HL798" s="1854" t="str">
        <f t="shared" si="201"/>
        <v/>
      </c>
      <c r="HM798" s="1854" t="str">
        <f t="shared" si="202"/>
        <v/>
      </c>
      <c r="HN798" s="1854" t="str">
        <f t="shared" si="203"/>
        <v/>
      </c>
      <c r="HO798" s="1854" t="str">
        <f t="shared" si="204"/>
        <v/>
      </c>
      <c r="HP798" s="1854" t="str">
        <f t="shared" si="205"/>
        <v/>
      </c>
      <c r="HQ798" s="1854" t="str">
        <f t="shared" si="206"/>
        <v/>
      </c>
      <c r="HR798" s="1854" t="str">
        <f t="shared" si="207"/>
        <v/>
      </c>
      <c r="HS798" s="1854" t="str">
        <f t="shared" si="208"/>
        <v/>
      </c>
      <c r="HT798" s="1854" t="str">
        <f t="shared" si="209"/>
        <v/>
      </c>
      <c r="HU798" s="1854" t="str">
        <f t="shared" si="210"/>
        <v/>
      </c>
      <c r="HV798" s="1854" t="str">
        <f t="shared" si="211"/>
        <v/>
      </c>
      <c r="HW798" s="1854" t="str">
        <f t="shared" si="212"/>
        <v/>
      </c>
      <c r="HX798" s="1854" t="str">
        <f t="shared" si="213"/>
        <v/>
      </c>
      <c r="HY798" s="1854" t="str">
        <f t="shared" si="214"/>
        <v/>
      </c>
      <c r="HZ798" s="1854" t="str">
        <f t="shared" si="215"/>
        <v/>
      </c>
      <c r="IA798" s="1854" t="str">
        <f t="shared" si="216"/>
        <v/>
      </c>
      <c r="IB798" s="1854" t="str">
        <f t="shared" si="217"/>
        <v/>
      </c>
      <c r="IC798" s="1854" t="str">
        <f t="shared" si="218"/>
        <v/>
      </c>
      <c r="ID798" s="1826" t="str">
        <f t="shared" si="219"/>
        <v/>
      </c>
      <c r="IE798" s="1826" t="str">
        <f t="shared" si="220"/>
        <v/>
      </c>
      <c r="IF798" s="1826" t="str">
        <f t="shared" si="221"/>
        <v/>
      </c>
      <c r="IG798" s="1826" t="str">
        <f t="shared" si="222"/>
        <v/>
      </c>
      <c r="IH798" s="1826" t="str">
        <f t="shared" si="223"/>
        <v/>
      </c>
      <c r="II798" s="683" t="str">
        <f t="shared" si="224"/>
        <v/>
      </c>
      <c r="IJ798" s="683" t="str">
        <f t="shared" si="225"/>
        <v/>
      </c>
      <c r="IK798" s="683" t="str">
        <f t="shared" si="226"/>
        <v/>
      </c>
      <c r="IL798" s="683" t="str">
        <f t="shared" si="227"/>
        <v/>
      </c>
      <c r="IM798" s="683" t="str">
        <f t="shared" si="228"/>
        <v/>
      </c>
      <c r="IN798" s="683" t="str">
        <f t="shared" si="229"/>
        <v/>
      </c>
      <c r="IO798" s="683" t="str">
        <f t="shared" si="230"/>
        <v/>
      </c>
      <c r="IP798" s="683" t="str">
        <f t="shared" si="231"/>
        <v/>
      </c>
      <c r="IQ798" s="683" t="str">
        <f t="shared" si="232"/>
        <v/>
      </c>
      <c r="IR798" s="683" t="str">
        <f t="shared" si="233"/>
        <v/>
      </c>
      <c r="IS798" s="683" t="str">
        <f t="shared" si="234"/>
        <v/>
      </c>
      <c r="IT798" s="683" t="str">
        <f t="shared" si="235"/>
        <v/>
      </c>
      <c r="IU798" s="683" t="str">
        <f t="shared" si="236"/>
        <v/>
      </c>
      <c r="IV798" s="683" t="str">
        <f t="shared" si="237"/>
        <v/>
      </c>
      <c r="IW798" s="683" t="str">
        <f t="shared" si="238"/>
        <v/>
      </c>
      <c r="IX798" s="683" t="str">
        <f t="shared" si="239"/>
        <v/>
      </c>
      <c r="IY798" s="683" t="str">
        <f t="shared" si="240"/>
        <v/>
      </c>
      <c r="IZ798" s="683" t="str">
        <f t="shared" si="241"/>
        <v/>
      </c>
      <c r="JA798" s="683" t="str">
        <f t="shared" si="242"/>
        <v/>
      </c>
      <c r="JB798" s="683" t="str">
        <f t="shared" si="243"/>
        <v/>
      </c>
      <c r="JC798" s="1824">
        <f t="shared" si="244"/>
        <v>0</v>
      </c>
      <c r="JD798" s="1824">
        <f t="shared" si="245"/>
        <v>0</v>
      </c>
      <c r="JE798" s="1824">
        <f t="shared" si="246"/>
        <v>0</v>
      </c>
      <c r="JF798" s="1824">
        <f t="shared" si="247"/>
        <v>0</v>
      </c>
      <c r="JG798" s="1824">
        <f t="shared" si="248"/>
        <v>0</v>
      </c>
      <c r="JH798" s="1824">
        <f t="shared" si="249"/>
        <v>0</v>
      </c>
      <c r="JI798" s="1824">
        <f t="shared" si="250"/>
        <v>0</v>
      </c>
      <c r="JJ798" s="1824">
        <f t="shared" si="251"/>
        <v>0</v>
      </c>
      <c r="JK798" s="1824">
        <f t="shared" si="252"/>
        <v>0</v>
      </c>
      <c r="JL798" s="1824">
        <f t="shared" si="253"/>
        <v>0</v>
      </c>
      <c r="JM798" s="1824">
        <f t="shared" si="254"/>
        <v>0</v>
      </c>
      <c r="JN798" s="1824">
        <f t="shared" si="255"/>
        <v>0</v>
      </c>
      <c r="JO798" s="1824">
        <f t="shared" si="256"/>
        <v>0</v>
      </c>
      <c r="JP798" s="1824">
        <f t="shared" si="257"/>
        <v>0</v>
      </c>
      <c r="JQ798" s="1824">
        <f t="shared" si="258"/>
        <v>0</v>
      </c>
    </row>
    <row r="799" spans="1:277" ht="12" customHeight="1">
      <c r="A799" s="1837" t="str">
        <f t="shared" si="1"/>
        <v/>
      </c>
      <c r="B799" s="1846" t="str">
        <f>'Part VI-Revenues &amp; Expenses'!B42</f>
        <v>&lt;&lt;Select&gt;&gt;</v>
      </c>
      <c r="C799" s="1847">
        <f>'Part VI-Revenues &amp; Expenses'!C42</f>
        <v>0</v>
      </c>
      <c r="D799" s="1848">
        <f>'Part VI-Revenues &amp; Expenses'!D42</f>
        <v>0</v>
      </c>
      <c r="E799" s="1849">
        <f>'Part VI-Revenues &amp; Expenses'!E42</f>
        <v>0</v>
      </c>
      <c r="F799" s="1849">
        <f>'Part VI-Revenues &amp; Expenses'!F42</f>
        <v>0</v>
      </c>
      <c r="G799" s="1849">
        <f>'Part VI-Revenues &amp; Expenses'!G42</f>
        <v>0</v>
      </c>
      <c r="H799" s="1849">
        <f>'Part VI-Revenues &amp; Expenses'!H42</f>
        <v>0</v>
      </c>
      <c r="I799" s="1849">
        <f>'Part VI-Revenues &amp; Expenses'!I42</f>
        <v>0</v>
      </c>
      <c r="J799" s="1850">
        <f>'Part VI-Revenues &amp; Expenses'!J42</f>
        <v>0</v>
      </c>
      <c r="K799" s="1851">
        <f t="shared" si="2"/>
        <v>0</v>
      </c>
      <c r="L799" s="1851">
        <f t="shared" si="3"/>
        <v>0</v>
      </c>
      <c r="M799" s="1725">
        <f>'Part VI-Revenues &amp; Expenses'!M42</f>
        <v>0</v>
      </c>
      <c r="N799" s="1725">
        <f>'Part VI-Revenues &amp; Expenses'!N42</f>
        <v>0</v>
      </c>
      <c r="O799" s="1725">
        <f>'Part VI-Revenues &amp; Expenses'!O42</f>
        <v>0</v>
      </c>
      <c r="P799" s="1831">
        <f>'Part VI-Revenues &amp; Expenses'!P42</f>
        <v>0</v>
      </c>
      <c r="Q799" s="1852" t="str">
        <f>'Part VI-Revenues &amp; Expenses'!Q42</f>
        <v/>
      </c>
      <c r="R799" s="1853" t="str">
        <f>'Part VI-Revenues &amp; Expenses'!R42</f>
        <v/>
      </c>
      <c r="S799" s="1852">
        <f>'Part VI-Revenues &amp; Expenses'!S42</f>
        <v>0</v>
      </c>
      <c r="T799" s="1853">
        <f>'Part VI-Revenues &amp; Expenses'!T42</f>
        <v>0</v>
      </c>
      <c r="U799" s="1775"/>
      <c r="V799" s="1775"/>
      <c r="W799" s="683" t="str">
        <f t="shared" si="4"/>
        <v/>
      </c>
      <c r="X799" s="683" t="str">
        <f t="shared" si="5"/>
        <v/>
      </c>
      <c r="Y799" s="683" t="str">
        <f t="shared" si="6"/>
        <v/>
      </c>
      <c r="Z799" s="683" t="str">
        <f t="shared" si="7"/>
        <v/>
      </c>
      <c r="AA799" s="683" t="str">
        <f t="shared" si="8"/>
        <v/>
      </c>
      <c r="AB799" s="683" t="str">
        <f t="shared" si="9"/>
        <v/>
      </c>
      <c r="AC799" s="683" t="str">
        <f t="shared" si="10"/>
        <v/>
      </c>
      <c r="AD799" s="683" t="str">
        <f t="shared" si="11"/>
        <v/>
      </c>
      <c r="AE799" s="683" t="str">
        <f t="shared" si="12"/>
        <v/>
      </c>
      <c r="AF799" s="683" t="str">
        <f t="shared" si="13"/>
        <v/>
      </c>
      <c r="AG799" s="683" t="str">
        <f t="shared" si="14"/>
        <v/>
      </c>
      <c r="AH799" s="683" t="str">
        <f t="shared" si="15"/>
        <v/>
      </c>
      <c r="AI799" s="683" t="str">
        <f t="shared" si="16"/>
        <v/>
      </c>
      <c r="AJ799" s="683" t="str">
        <f t="shared" si="17"/>
        <v/>
      </c>
      <c r="AK799" s="683" t="str">
        <f t="shared" si="18"/>
        <v/>
      </c>
      <c r="AL799" s="683" t="str">
        <f t="shared" si="19"/>
        <v/>
      </c>
      <c r="AM799" s="683" t="str">
        <f t="shared" si="20"/>
        <v/>
      </c>
      <c r="AN799" s="683" t="str">
        <f t="shared" si="21"/>
        <v/>
      </c>
      <c r="AO799" s="683" t="str">
        <f t="shared" si="22"/>
        <v/>
      </c>
      <c r="AP799" s="683" t="str">
        <f t="shared" si="23"/>
        <v/>
      </c>
      <c r="AQ799" s="683" t="str">
        <f t="shared" si="24"/>
        <v/>
      </c>
      <c r="AR799" s="683" t="str">
        <f t="shared" si="25"/>
        <v/>
      </c>
      <c r="AS799" s="683" t="str">
        <f t="shared" si="26"/>
        <v/>
      </c>
      <c r="AT799" s="683" t="str">
        <f t="shared" si="27"/>
        <v/>
      </c>
      <c r="AU799" s="683" t="str">
        <f t="shared" si="28"/>
        <v/>
      </c>
      <c r="AV799" s="683" t="str">
        <f t="shared" si="29"/>
        <v/>
      </c>
      <c r="AW799" s="683" t="str">
        <f t="shared" si="30"/>
        <v/>
      </c>
      <c r="AX799" s="683" t="str">
        <f t="shared" si="31"/>
        <v/>
      </c>
      <c r="AY799" s="683" t="str">
        <f t="shared" si="32"/>
        <v/>
      </c>
      <c r="AZ799" s="683" t="str">
        <f t="shared" si="33"/>
        <v/>
      </c>
      <c r="BA799" s="683" t="str">
        <f t="shared" si="34"/>
        <v/>
      </c>
      <c r="BB799" s="683" t="str">
        <f t="shared" si="35"/>
        <v/>
      </c>
      <c r="BC799" s="683" t="str">
        <f t="shared" si="36"/>
        <v/>
      </c>
      <c r="BD799" s="683" t="str">
        <f t="shared" si="37"/>
        <v/>
      </c>
      <c r="BE799" s="683" t="str">
        <f t="shared" si="38"/>
        <v/>
      </c>
      <c r="BF799" s="683" t="str">
        <f t="shared" si="39"/>
        <v/>
      </c>
      <c r="BG799" s="683" t="str">
        <f t="shared" si="40"/>
        <v/>
      </c>
      <c r="BH799" s="683" t="str">
        <f t="shared" si="41"/>
        <v/>
      </c>
      <c r="BI799" s="683" t="str">
        <f t="shared" si="42"/>
        <v/>
      </c>
      <c r="BJ799" s="683" t="str">
        <f t="shared" si="43"/>
        <v/>
      </c>
      <c r="BK799" s="683" t="str">
        <f t="shared" si="44"/>
        <v/>
      </c>
      <c r="BL799" s="683" t="str">
        <f t="shared" si="45"/>
        <v/>
      </c>
      <c r="BM799" s="683" t="str">
        <f t="shared" si="46"/>
        <v/>
      </c>
      <c r="BN799" s="683" t="str">
        <f t="shared" si="47"/>
        <v/>
      </c>
      <c r="BO799" s="683" t="str">
        <f t="shared" si="48"/>
        <v/>
      </c>
      <c r="BP799" s="683" t="str">
        <f t="shared" si="49"/>
        <v/>
      </c>
      <c r="BQ799" s="683" t="str">
        <f t="shared" si="50"/>
        <v/>
      </c>
      <c r="BR799" s="683" t="str">
        <f t="shared" si="51"/>
        <v/>
      </c>
      <c r="BS799" s="683" t="str">
        <f t="shared" si="52"/>
        <v/>
      </c>
      <c r="BT799" s="683" t="str">
        <f t="shared" si="53"/>
        <v/>
      </c>
      <c r="BU799" s="683" t="str">
        <f t="shared" si="54"/>
        <v/>
      </c>
      <c r="BV799" s="683" t="str">
        <f t="shared" si="55"/>
        <v/>
      </c>
      <c r="BW799" s="683" t="str">
        <f t="shared" si="56"/>
        <v/>
      </c>
      <c r="BX799" s="683" t="str">
        <f t="shared" si="57"/>
        <v/>
      </c>
      <c r="BY799" s="683" t="str">
        <f t="shared" si="58"/>
        <v/>
      </c>
      <c r="BZ799" s="683" t="str">
        <f t="shared" si="59"/>
        <v/>
      </c>
      <c r="CA799" s="683" t="str">
        <f t="shared" si="60"/>
        <v/>
      </c>
      <c r="CB799" s="683" t="str">
        <f t="shared" si="61"/>
        <v/>
      </c>
      <c r="CC799" s="683" t="str">
        <f t="shared" si="62"/>
        <v/>
      </c>
      <c r="CD799" s="683" t="str">
        <f t="shared" si="63"/>
        <v/>
      </c>
      <c r="CE799" s="683" t="str">
        <f t="shared" si="64"/>
        <v/>
      </c>
      <c r="CF799" s="683" t="str">
        <f t="shared" si="65"/>
        <v/>
      </c>
      <c r="CG799" s="683" t="str">
        <f t="shared" si="66"/>
        <v/>
      </c>
      <c r="CH799" s="683" t="str">
        <f t="shared" si="67"/>
        <v/>
      </c>
      <c r="CI799" s="683" t="str">
        <f t="shared" si="68"/>
        <v/>
      </c>
      <c r="CJ799" s="683" t="str">
        <f t="shared" si="69"/>
        <v/>
      </c>
      <c r="CK799" s="683" t="str">
        <f t="shared" si="70"/>
        <v/>
      </c>
      <c r="CL799" s="683" t="str">
        <f t="shared" si="71"/>
        <v/>
      </c>
      <c r="CM799" s="683" t="str">
        <f t="shared" si="72"/>
        <v/>
      </c>
      <c r="CN799" s="683" t="str">
        <f t="shared" si="73"/>
        <v/>
      </c>
      <c r="CO799" s="683" t="str">
        <f t="shared" si="74"/>
        <v/>
      </c>
      <c r="CP799" s="683" t="str">
        <f t="shared" si="75"/>
        <v/>
      </c>
      <c r="CQ799" s="683" t="str">
        <f t="shared" si="76"/>
        <v/>
      </c>
      <c r="CR799" s="683" t="str">
        <f t="shared" si="77"/>
        <v/>
      </c>
      <c r="CS799" s="683" t="str">
        <f t="shared" si="78"/>
        <v/>
      </c>
      <c r="CT799" s="683" t="str">
        <f t="shared" si="79"/>
        <v/>
      </c>
      <c r="CU799" s="683" t="str">
        <f t="shared" si="80"/>
        <v/>
      </c>
      <c r="CV799" s="683" t="str">
        <f t="shared" si="81"/>
        <v/>
      </c>
      <c r="CW799" s="683" t="str">
        <f t="shared" si="82"/>
        <v/>
      </c>
      <c r="CX799" s="683" t="str">
        <f t="shared" si="83"/>
        <v/>
      </c>
      <c r="CY799" s="683" t="str">
        <f t="shared" si="84"/>
        <v/>
      </c>
      <c r="CZ799" s="683" t="str">
        <f t="shared" si="85"/>
        <v/>
      </c>
      <c r="DA799" s="683" t="str">
        <f t="shared" si="86"/>
        <v/>
      </c>
      <c r="DB799" s="683" t="str">
        <f t="shared" si="87"/>
        <v/>
      </c>
      <c r="DC799" s="683" t="str">
        <f t="shared" si="88"/>
        <v/>
      </c>
      <c r="DD799" s="683" t="str">
        <f t="shared" si="89"/>
        <v/>
      </c>
      <c r="DE799" s="683" t="str">
        <f t="shared" si="90"/>
        <v/>
      </c>
      <c r="DF799" s="683" t="str">
        <f t="shared" si="91"/>
        <v/>
      </c>
      <c r="DG799" s="683" t="str">
        <f t="shared" si="92"/>
        <v/>
      </c>
      <c r="DH799" s="683" t="str">
        <f t="shared" si="93"/>
        <v/>
      </c>
      <c r="DI799" s="683" t="str">
        <f t="shared" si="94"/>
        <v/>
      </c>
      <c r="DJ799" s="683" t="str">
        <f t="shared" si="95"/>
        <v/>
      </c>
      <c r="DK799" s="683" t="str">
        <f t="shared" si="96"/>
        <v/>
      </c>
      <c r="DL799" s="683" t="str">
        <f t="shared" si="97"/>
        <v/>
      </c>
      <c r="DM799" s="683" t="str">
        <f t="shared" si="98"/>
        <v/>
      </c>
      <c r="DN799" s="683" t="str">
        <f t="shared" si="99"/>
        <v/>
      </c>
      <c r="DO799" s="683" t="str">
        <f t="shared" si="100"/>
        <v/>
      </c>
      <c r="DP799" s="683" t="str">
        <f t="shared" si="101"/>
        <v/>
      </c>
      <c r="DQ799" s="683" t="str">
        <f t="shared" si="102"/>
        <v/>
      </c>
      <c r="DR799" s="683" t="str">
        <f t="shared" si="103"/>
        <v/>
      </c>
      <c r="DS799" s="683" t="str">
        <f t="shared" si="104"/>
        <v/>
      </c>
      <c r="DT799" s="683" t="str">
        <f t="shared" si="105"/>
        <v/>
      </c>
      <c r="DU799" s="683" t="str">
        <f t="shared" si="106"/>
        <v/>
      </c>
      <c r="DV799" s="683" t="str">
        <f t="shared" si="107"/>
        <v/>
      </c>
      <c r="DW799" s="683" t="str">
        <f t="shared" si="108"/>
        <v/>
      </c>
      <c r="DX799" s="683" t="str">
        <f t="shared" si="109"/>
        <v/>
      </c>
      <c r="DY799" s="683" t="str">
        <f t="shared" si="110"/>
        <v/>
      </c>
      <c r="DZ799" s="683" t="str">
        <f t="shared" si="111"/>
        <v/>
      </c>
      <c r="EA799" s="683" t="str">
        <f t="shared" si="112"/>
        <v/>
      </c>
      <c r="EB799" s="683" t="str">
        <f t="shared" si="113"/>
        <v/>
      </c>
      <c r="EC799" s="683" t="str">
        <f t="shared" si="114"/>
        <v/>
      </c>
      <c r="ED799" s="683" t="str">
        <f t="shared" si="115"/>
        <v/>
      </c>
      <c r="EE799" s="683" t="str">
        <f t="shared" si="116"/>
        <v/>
      </c>
      <c r="EF799" s="683" t="str">
        <f t="shared" si="117"/>
        <v/>
      </c>
      <c r="EG799" s="683" t="str">
        <f t="shared" si="118"/>
        <v/>
      </c>
      <c r="EH799" s="683" t="str">
        <f t="shared" si="119"/>
        <v/>
      </c>
      <c r="EI799" s="683" t="str">
        <f t="shared" si="120"/>
        <v/>
      </c>
      <c r="EJ799" s="683" t="str">
        <f t="shared" si="121"/>
        <v/>
      </c>
      <c r="EK799" s="683" t="str">
        <f t="shared" si="122"/>
        <v/>
      </c>
      <c r="EL799" s="683" t="str">
        <f t="shared" si="123"/>
        <v/>
      </c>
      <c r="EM799" s="683" t="str">
        <f t="shared" si="124"/>
        <v/>
      </c>
      <c r="EN799" s="683" t="str">
        <f t="shared" si="125"/>
        <v/>
      </c>
      <c r="EO799" s="683" t="str">
        <f t="shared" si="126"/>
        <v/>
      </c>
      <c r="EP799" s="683" t="str">
        <f t="shared" si="127"/>
        <v/>
      </c>
      <c r="EQ799" s="683" t="str">
        <f t="shared" si="128"/>
        <v/>
      </c>
      <c r="ER799" s="683" t="str">
        <f t="shared" si="129"/>
        <v/>
      </c>
      <c r="ES799" s="683" t="str">
        <f t="shared" si="130"/>
        <v/>
      </c>
      <c r="ET799" s="683" t="str">
        <f t="shared" si="131"/>
        <v/>
      </c>
      <c r="EU799" s="683" t="str">
        <f t="shared" si="132"/>
        <v/>
      </c>
      <c r="EV799" s="683" t="str">
        <f t="shared" si="133"/>
        <v/>
      </c>
      <c r="EW799" s="1854" t="str">
        <f t="shared" si="134"/>
        <v/>
      </c>
      <c r="EX799" s="1854" t="str">
        <f t="shared" si="135"/>
        <v/>
      </c>
      <c r="EY799" s="1854" t="str">
        <f t="shared" si="136"/>
        <v/>
      </c>
      <c r="EZ799" s="1854" t="str">
        <f t="shared" si="137"/>
        <v/>
      </c>
      <c r="FA799" s="1854" t="str">
        <f t="shared" si="138"/>
        <v/>
      </c>
      <c r="FB799" s="1854" t="str">
        <f t="shared" si="139"/>
        <v/>
      </c>
      <c r="FC799" s="1854" t="str">
        <f t="shared" si="140"/>
        <v/>
      </c>
      <c r="FD799" s="1854" t="str">
        <f t="shared" si="141"/>
        <v/>
      </c>
      <c r="FE799" s="1854" t="str">
        <f t="shared" si="142"/>
        <v/>
      </c>
      <c r="FF799" s="1854" t="str">
        <f t="shared" si="143"/>
        <v/>
      </c>
      <c r="FG799" s="1854" t="str">
        <f t="shared" si="144"/>
        <v/>
      </c>
      <c r="FH799" s="1854" t="str">
        <f t="shared" si="145"/>
        <v/>
      </c>
      <c r="FI799" s="1854" t="str">
        <f t="shared" si="146"/>
        <v/>
      </c>
      <c r="FJ799" s="1854" t="str">
        <f t="shared" si="147"/>
        <v/>
      </c>
      <c r="FK799" s="1854" t="str">
        <f t="shared" si="148"/>
        <v/>
      </c>
      <c r="FL799" s="1854" t="str">
        <f t="shared" si="149"/>
        <v/>
      </c>
      <c r="FM799" s="1854" t="str">
        <f t="shared" si="150"/>
        <v/>
      </c>
      <c r="FN799" s="1854" t="str">
        <f t="shared" si="151"/>
        <v/>
      </c>
      <c r="FO799" s="1854" t="str">
        <f t="shared" si="152"/>
        <v/>
      </c>
      <c r="FP799" s="1854" t="str">
        <f t="shared" si="153"/>
        <v/>
      </c>
      <c r="FQ799" s="1854" t="str">
        <f t="shared" si="154"/>
        <v/>
      </c>
      <c r="FR799" s="1854" t="str">
        <f t="shared" si="155"/>
        <v/>
      </c>
      <c r="FS799" s="1854" t="str">
        <f t="shared" si="156"/>
        <v/>
      </c>
      <c r="FT799" s="1854" t="str">
        <f t="shared" si="157"/>
        <v/>
      </c>
      <c r="FU799" s="1854" t="str">
        <f t="shared" si="158"/>
        <v/>
      </c>
      <c r="FV799" s="1854" t="str">
        <f t="shared" si="159"/>
        <v/>
      </c>
      <c r="FW799" s="1854" t="str">
        <f t="shared" si="160"/>
        <v/>
      </c>
      <c r="FX799" s="1854" t="str">
        <f t="shared" si="161"/>
        <v/>
      </c>
      <c r="FY799" s="1854" t="str">
        <f t="shared" si="162"/>
        <v/>
      </c>
      <c r="FZ799" s="1854" t="str">
        <f t="shared" si="163"/>
        <v/>
      </c>
      <c r="GA799" s="1854" t="str">
        <f t="shared" si="164"/>
        <v/>
      </c>
      <c r="GB799" s="1854" t="str">
        <f t="shared" si="165"/>
        <v/>
      </c>
      <c r="GC799" s="1854" t="str">
        <f t="shared" si="166"/>
        <v/>
      </c>
      <c r="GD799" s="1854" t="str">
        <f t="shared" si="167"/>
        <v/>
      </c>
      <c r="GE799" s="1854" t="str">
        <f t="shared" si="168"/>
        <v/>
      </c>
      <c r="GF799" s="1854" t="str">
        <f t="shared" si="169"/>
        <v/>
      </c>
      <c r="GG799" s="1854" t="str">
        <f t="shared" si="170"/>
        <v/>
      </c>
      <c r="GH799" s="1854" t="str">
        <f t="shared" si="171"/>
        <v/>
      </c>
      <c r="GI799" s="1854" t="str">
        <f t="shared" si="172"/>
        <v/>
      </c>
      <c r="GJ799" s="1854" t="str">
        <f t="shared" si="173"/>
        <v/>
      </c>
      <c r="GK799" s="1854" t="str">
        <f t="shared" si="174"/>
        <v/>
      </c>
      <c r="GL799" s="1854" t="str">
        <f t="shared" si="175"/>
        <v/>
      </c>
      <c r="GM799" s="1854" t="str">
        <f t="shared" si="176"/>
        <v/>
      </c>
      <c r="GN799" s="1854" t="str">
        <f t="shared" si="177"/>
        <v/>
      </c>
      <c r="GO799" s="1854" t="str">
        <f t="shared" si="178"/>
        <v/>
      </c>
      <c r="GP799" s="1854" t="str">
        <f t="shared" si="179"/>
        <v/>
      </c>
      <c r="GQ799" s="1854" t="str">
        <f t="shared" si="180"/>
        <v/>
      </c>
      <c r="GR799" s="1854" t="str">
        <f t="shared" si="181"/>
        <v/>
      </c>
      <c r="GS799" s="1854" t="str">
        <f t="shared" si="182"/>
        <v/>
      </c>
      <c r="GT799" s="1854" t="str">
        <f t="shared" si="183"/>
        <v/>
      </c>
      <c r="GU799" s="1854" t="str">
        <f t="shared" si="184"/>
        <v/>
      </c>
      <c r="GV799" s="1854" t="str">
        <f t="shared" si="185"/>
        <v/>
      </c>
      <c r="GW799" s="1854" t="str">
        <f t="shared" si="186"/>
        <v/>
      </c>
      <c r="GX799" s="1854" t="str">
        <f t="shared" si="187"/>
        <v/>
      </c>
      <c r="GY799" s="1854" t="str">
        <f t="shared" si="188"/>
        <v/>
      </c>
      <c r="GZ799" s="1854" t="str">
        <f t="shared" si="189"/>
        <v/>
      </c>
      <c r="HA799" s="1854" t="str">
        <f t="shared" si="190"/>
        <v/>
      </c>
      <c r="HB799" s="1854" t="str">
        <f t="shared" si="191"/>
        <v/>
      </c>
      <c r="HC799" s="1854" t="str">
        <f t="shared" si="192"/>
        <v/>
      </c>
      <c r="HD799" s="1854" t="str">
        <f t="shared" si="193"/>
        <v/>
      </c>
      <c r="HE799" s="1854" t="str">
        <f t="shared" si="194"/>
        <v/>
      </c>
      <c r="HF799" s="1854" t="str">
        <f t="shared" si="195"/>
        <v/>
      </c>
      <c r="HG799" s="1854" t="str">
        <f t="shared" si="196"/>
        <v/>
      </c>
      <c r="HH799" s="1854" t="str">
        <f t="shared" si="197"/>
        <v/>
      </c>
      <c r="HI799" s="1854" t="str">
        <f t="shared" si="198"/>
        <v/>
      </c>
      <c r="HJ799" s="1854" t="str">
        <f t="shared" si="199"/>
        <v/>
      </c>
      <c r="HK799" s="1854" t="str">
        <f t="shared" si="200"/>
        <v/>
      </c>
      <c r="HL799" s="1854" t="str">
        <f t="shared" si="201"/>
        <v/>
      </c>
      <c r="HM799" s="1854" t="str">
        <f t="shared" si="202"/>
        <v/>
      </c>
      <c r="HN799" s="1854" t="str">
        <f t="shared" si="203"/>
        <v/>
      </c>
      <c r="HO799" s="1854" t="str">
        <f t="shared" si="204"/>
        <v/>
      </c>
      <c r="HP799" s="1854" t="str">
        <f t="shared" si="205"/>
        <v/>
      </c>
      <c r="HQ799" s="1854" t="str">
        <f t="shared" si="206"/>
        <v/>
      </c>
      <c r="HR799" s="1854" t="str">
        <f t="shared" si="207"/>
        <v/>
      </c>
      <c r="HS799" s="1854" t="str">
        <f t="shared" si="208"/>
        <v/>
      </c>
      <c r="HT799" s="1854" t="str">
        <f t="shared" si="209"/>
        <v/>
      </c>
      <c r="HU799" s="1854" t="str">
        <f t="shared" si="210"/>
        <v/>
      </c>
      <c r="HV799" s="1854" t="str">
        <f t="shared" si="211"/>
        <v/>
      </c>
      <c r="HW799" s="1854" t="str">
        <f t="shared" si="212"/>
        <v/>
      </c>
      <c r="HX799" s="1854" t="str">
        <f t="shared" si="213"/>
        <v/>
      </c>
      <c r="HY799" s="1854" t="str">
        <f t="shared" si="214"/>
        <v/>
      </c>
      <c r="HZ799" s="1854" t="str">
        <f t="shared" si="215"/>
        <v/>
      </c>
      <c r="IA799" s="1854" t="str">
        <f t="shared" si="216"/>
        <v/>
      </c>
      <c r="IB799" s="1854" t="str">
        <f t="shared" si="217"/>
        <v/>
      </c>
      <c r="IC799" s="1854" t="str">
        <f t="shared" si="218"/>
        <v/>
      </c>
      <c r="ID799" s="1826" t="str">
        <f t="shared" si="219"/>
        <v/>
      </c>
      <c r="IE799" s="1826" t="str">
        <f t="shared" si="220"/>
        <v/>
      </c>
      <c r="IF799" s="1826" t="str">
        <f t="shared" si="221"/>
        <v/>
      </c>
      <c r="IG799" s="1826" t="str">
        <f t="shared" si="222"/>
        <v/>
      </c>
      <c r="IH799" s="1826" t="str">
        <f t="shared" si="223"/>
        <v/>
      </c>
      <c r="II799" s="683" t="str">
        <f t="shared" si="224"/>
        <v/>
      </c>
      <c r="IJ799" s="683" t="str">
        <f t="shared" si="225"/>
        <v/>
      </c>
      <c r="IK799" s="683" t="str">
        <f t="shared" si="226"/>
        <v/>
      </c>
      <c r="IL799" s="683" t="str">
        <f t="shared" si="227"/>
        <v/>
      </c>
      <c r="IM799" s="683" t="str">
        <f t="shared" si="228"/>
        <v/>
      </c>
      <c r="IN799" s="683" t="str">
        <f t="shared" si="229"/>
        <v/>
      </c>
      <c r="IO799" s="683" t="str">
        <f t="shared" si="230"/>
        <v/>
      </c>
      <c r="IP799" s="683" t="str">
        <f t="shared" si="231"/>
        <v/>
      </c>
      <c r="IQ799" s="683" t="str">
        <f t="shared" si="232"/>
        <v/>
      </c>
      <c r="IR799" s="683" t="str">
        <f t="shared" si="233"/>
        <v/>
      </c>
      <c r="IS799" s="683" t="str">
        <f t="shared" si="234"/>
        <v/>
      </c>
      <c r="IT799" s="683" t="str">
        <f t="shared" si="235"/>
        <v/>
      </c>
      <c r="IU799" s="683" t="str">
        <f t="shared" si="236"/>
        <v/>
      </c>
      <c r="IV799" s="683" t="str">
        <f t="shared" si="237"/>
        <v/>
      </c>
      <c r="IW799" s="683" t="str">
        <f t="shared" si="238"/>
        <v/>
      </c>
      <c r="IX799" s="683" t="str">
        <f t="shared" si="239"/>
        <v/>
      </c>
      <c r="IY799" s="683" t="str">
        <f t="shared" si="240"/>
        <v/>
      </c>
      <c r="IZ799" s="683" t="str">
        <f t="shared" si="241"/>
        <v/>
      </c>
      <c r="JA799" s="683" t="str">
        <f t="shared" si="242"/>
        <v/>
      </c>
      <c r="JB799" s="683" t="str">
        <f t="shared" si="243"/>
        <v/>
      </c>
      <c r="JC799" s="1824">
        <f t="shared" si="244"/>
        <v>0</v>
      </c>
      <c r="JD799" s="1824">
        <f t="shared" si="245"/>
        <v>0</v>
      </c>
      <c r="JE799" s="1824">
        <f t="shared" si="246"/>
        <v>0</v>
      </c>
      <c r="JF799" s="1824">
        <f t="shared" si="247"/>
        <v>0</v>
      </c>
      <c r="JG799" s="1824">
        <f t="shared" si="248"/>
        <v>0</v>
      </c>
      <c r="JH799" s="1824">
        <f t="shared" si="249"/>
        <v>0</v>
      </c>
      <c r="JI799" s="1824">
        <f t="shared" si="250"/>
        <v>0</v>
      </c>
      <c r="JJ799" s="1824">
        <f t="shared" si="251"/>
        <v>0</v>
      </c>
      <c r="JK799" s="1824">
        <f t="shared" si="252"/>
        <v>0</v>
      </c>
      <c r="JL799" s="1824">
        <f t="shared" si="253"/>
        <v>0</v>
      </c>
      <c r="JM799" s="1824">
        <f t="shared" si="254"/>
        <v>0</v>
      </c>
      <c r="JN799" s="1824">
        <f t="shared" si="255"/>
        <v>0</v>
      </c>
      <c r="JO799" s="1824">
        <f t="shared" si="256"/>
        <v>0</v>
      </c>
      <c r="JP799" s="1824">
        <f t="shared" si="257"/>
        <v>0</v>
      </c>
      <c r="JQ799" s="1824">
        <f t="shared" si="258"/>
        <v>0</v>
      </c>
    </row>
    <row r="800" spans="1:277" ht="12" customHeight="1">
      <c r="A800" s="1837" t="str">
        <f t="shared" si="1"/>
        <v/>
      </c>
      <c r="B800" s="1846" t="str">
        <f>'Part VI-Revenues &amp; Expenses'!B43</f>
        <v>&lt;&lt;Select&gt;&gt;</v>
      </c>
      <c r="C800" s="1847">
        <f>'Part VI-Revenues &amp; Expenses'!C43</f>
        <v>0</v>
      </c>
      <c r="D800" s="1848">
        <f>'Part VI-Revenues &amp; Expenses'!D43</f>
        <v>0</v>
      </c>
      <c r="E800" s="1849">
        <f>'Part VI-Revenues &amp; Expenses'!E43</f>
        <v>0</v>
      </c>
      <c r="F800" s="1849">
        <f>'Part VI-Revenues &amp; Expenses'!F43</f>
        <v>0</v>
      </c>
      <c r="G800" s="1849">
        <f>'Part VI-Revenues &amp; Expenses'!G43</f>
        <v>0</v>
      </c>
      <c r="H800" s="1849">
        <f>'Part VI-Revenues &amp; Expenses'!H43</f>
        <v>0</v>
      </c>
      <c r="I800" s="1849">
        <f>'Part VI-Revenues &amp; Expenses'!I43</f>
        <v>0</v>
      </c>
      <c r="J800" s="1850">
        <f>'Part VI-Revenues &amp; Expenses'!J43</f>
        <v>0</v>
      </c>
      <c r="K800" s="1851">
        <f t="shared" si="2"/>
        <v>0</v>
      </c>
      <c r="L800" s="1851">
        <f t="shared" si="3"/>
        <v>0</v>
      </c>
      <c r="M800" s="1725">
        <f>'Part VI-Revenues &amp; Expenses'!M43</f>
        <v>0</v>
      </c>
      <c r="N800" s="1725">
        <f>'Part VI-Revenues &amp; Expenses'!N43</f>
        <v>0</v>
      </c>
      <c r="O800" s="1725">
        <f>'Part VI-Revenues &amp; Expenses'!O43</f>
        <v>0</v>
      </c>
      <c r="P800" s="1831">
        <f>'Part VI-Revenues &amp; Expenses'!P43</f>
        <v>0</v>
      </c>
      <c r="Q800" s="1852" t="str">
        <f>'Part VI-Revenues &amp; Expenses'!Q43</f>
        <v/>
      </c>
      <c r="R800" s="1853" t="str">
        <f>'Part VI-Revenues &amp; Expenses'!R43</f>
        <v/>
      </c>
      <c r="S800" s="1852">
        <f>'Part VI-Revenues &amp; Expenses'!S43</f>
        <v>0</v>
      </c>
      <c r="T800" s="1853">
        <f>'Part VI-Revenues &amp; Expenses'!T43</f>
        <v>0</v>
      </c>
      <c r="U800" s="1775"/>
      <c r="V800" s="1775"/>
      <c r="W800" s="683" t="str">
        <f t="shared" si="4"/>
        <v/>
      </c>
      <c r="X800" s="683" t="str">
        <f t="shared" si="5"/>
        <v/>
      </c>
      <c r="Y800" s="683" t="str">
        <f t="shared" si="6"/>
        <v/>
      </c>
      <c r="Z800" s="683" t="str">
        <f t="shared" si="7"/>
        <v/>
      </c>
      <c r="AA800" s="683" t="str">
        <f t="shared" si="8"/>
        <v/>
      </c>
      <c r="AB800" s="683" t="str">
        <f t="shared" si="9"/>
        <v/>
      </c>
      <c r="AC800" s="683" t="str">
        <f t="shared" si="10"/>
        <v/>
      </c>
      <c r="AD800" s="683" t="str">
        <f t="shared" si="11"/>
        <v/>
      </c>
      <c r="AE800" s="683" t="str">
        <f t="shared" si="12"/>
        <v/>
      </c>
      <c r="AF800" s="683" t="str">
        <f t="shared" si="13"/>
        <v/>
      </c>
      <c r="AG800" s="683" t="str">
        <f t="shared" si="14"/>
        <v/>
      </c>
      <c r="AH800" s="683" t="str">
        <f t="shared" si="15"/>
        <v/>
      </c>
      <c r="AI800" s="683" t="str">
        <f t="shared" si="16"/>
        <v/>
      </c>
      <c r="AJ800" s="683" t="str">
        <f t="shared" si="17"/>
        <v/>
      </c>
      <c r="AK800" s="683" t="str">
        <f t="shared" si="18"/>
        <v/>
      </c>
      <c r="AL800" s="683" t="str">
        <f t="shared" si="19"/>
        <v/>
      </c>
      <c r="AM800" s="683" t="str">
        <f t="shared" si="20"/>
        <v/>
      </c>
      <c r="AN800" s="683" t="str">
        <f t="shared" si="21"/>
        <v/>
      </c>
      <c r="AO800" s="683" t="str">
        <f t="shared" si="22"/>
        <v/>
      </c>
      <c r="AP800" s="683" t="str">
        <f t="shared" si="23"/>
        <v/>
      </c>
      <c r="AQ800" s="683" t="str">
        <f t="shared" si="24"/>
        <v/>
      </c>
      <c r="AR800" s="683" t="str">
        <f t="shared" si="25"/>
        <v/>
      </c>
      <c r="AS800" s="683" t="str">
        <f t="shared" si="26"/>
        <v/>
      </c>
      <c r="AT800" s="683" t="str">
        <f t="shared" si="27"/>
        <v/>
      </c>
      <c r="AU800" s="683" t="str">
        <f t="shared" si="28"/>
        <v/>
      </c>
      <c r="AV800" s="683" t="str">
        <f t="shared" si="29"/>
        <v/>
      </c>
      <c r="AW800" s="683" t="str">
        <f t="shared" si="30"/>
        <v/>
      </c>
      <c r="AX800" s="683" t="str">
        <f t="shared" si="31"/>
        <v/>
      </c>
      <c r="AY800" s="683" t="str">
        <f t="shared" si="32"/>
        <v/>
      </c>
      <c r="AZ800" s="683" t="str">
        <f t="shared" si="33"/>
        <v/>
      </c>
      <c r="BA800" s="683" t="str">
        <f t="shared" si="34"/>
        <v/>
      </c>
      <c r="BB800" s="683" t="str">
        <f t="shared" si="35"/>
        <v/>
      </c>
      <c r="BC800" s="683" t="str">
        <f t="shared" si="36"/>
        <v/>
      </c>
      <c r="BD800" s="683" t="str">
        <f t="shared" si="37"/>
        <v/>
      </c>
      <c r="BE800" s="683" t="str">
        <f t="shared" si="38"/>
        <v/>
      </c>
      <c r="BF800" s="683" t="str">
        <f t="shared" si="39"/>
        <v/>
      </c>
      <c r="BG800" s="683" t="str">
        <f t="shared" si="40"/>
        <v/>
      </c>
      <c r="BH800" s="683" t="str">
        <f t="shared" si="41"/>
        <v/>
      </c>
      <c r="BI800" s="683" t="str">
        <f t="shared" si="42"/>
        <v/>
      </c>
      <c r="BJ800" s="683" t="str">
        <f t="shared" si="43"/>
        <v/>
      </c>
      <c r="BK800" s="683" t="str">
        <f t="shared" si="44"/>
        <v/>
      </c>
      <c r="BL800" s="683" t="str">
        <f t="shared" si="45"/>
        <v/>
      </c>
      <c r="BM800" s="683" t="str">
        <f t="shared" si="46"/>
        <v/>
      </c>
      <c r="BN800" s="683" t="str">
        <f t="shared" si="47"/>
        <v/>
      </c>
      <c r="BO800" s="683" t="str">
        <f t="shared" si="48"/>
        <v/>
      </c>
      <c r="BP800" s="683" t="str">
        <f t="shared" si="49"/>
        <v/>
      </c>
      <c r="BQ800" s="683" t="str">
        <f t="shared" si="50"/>
        <v/>
      </c>
      <c r="BR800" s="683" t="str">
        <f t="shared" si="51"/>
        <v/>
      </c>
      <c r="BS800" s="683" t="str">
        <f t="shared" si="52"/>
        <v/>
      </c>
      <c r="BT800" s="683" t="str">
        <f t="shared" si="53"/>
        <v/>
      </c>
      <c r="BU800" s="683" t="str">
        <f t="shared" si="54"/>
        <v/>
      </c>
      <c r="BV800" s="683" t="str">
        <f t="shared" si="55"/>
        <v/>
      </c>
      <c r="BW800" s="683" t="str">
        <f t="shared" si="56"/>
        <v/>
      </c>
      <c r="BX800" s="683" t="str">
        <f t="shared" si="57"/>
        <v/>
      </c>
      <c r="BY800" s="683" t="str">
        <f t="shared" si="58"/>
        <v/>
      </c>
      <c r="BZ800" s="683" t="str">
        <f t="shared" si="59"/>
        <v/>
      </c>
      <c r="CA800" s="683" t="str">
        <f t="shared" si="60"/>
        <v/>
      </c>
      <c r="CB800" s="683" t="str">
        <f t="shared" si="61"/>
        <v/>
      </c>
      <c r="CC800" s="683" t="str">
        <f t="shared" si="62"/>
        <v/>
      </c>
      <c r="CD800" s="683" t="str">
        <f t="shared" si="63"/>
        <v/>
      </c>
      <c r="CE800" s="683" t="str">
        <f t="shared" si="64"/>
        <v/>
      </c>
      <c r="CF800" s="683" t="str">
        <f t="shared" si="65"/>
        <v/>
      </c>
      <c r="CG800" s="683" t="str">
        <f t="shared" si="66"/>
        <v/>
      </c>
      <c r="CH800" s="683" t="str">
        <f t="shared" si="67"/>
        <v/>
      </c>
      <c r="CI800" s="683" t="str">
        <f t="shared" si="68"/>
        <v/>
      </c>
      <c r="CJ800" s="683" t="str">
        <f t="shared" si="69"/>
        <v/>
      </c>
      <c r="CK800" s="683" t="str">
        <f t="shared" si="70"/>
        <v/>
      </c>
      <c r="CL800" s="683" t="str">
        <f t="shared" si="71"/>
        <v/>
      </c>
      <c r="CM800" s="683" t="str">
        <f t="shared" si="72"/>
        <v/>
      </c>
      <c r="CN800" s="683" t="str">
        <f t="shared" si="73"/>
        <v/>
      </c>
      <c r="CO800" s="683" t="str">
        <f t="shared" si="74"/>
        <v/>
      </c>
      <c r="CP800" s="683" t="str">
        <f t="shared" si="75"/>
        <v/>
      </c>
      <c r="CQ800" s="683" t="str">
        <f t="shared" si="76"/>
        <v/>
      </c>
      <c r="CR800" s="683" t="str">
        <f t="shared" si="77"/>
        <v/>
      </c>
      <c r="CS800" s="683" t="str">
        <f t="shared" si="78"/>
        <v/>
      </c>
      <c r="CT800" s="683" t="str">
        <f t="shared" si="79"/>
        <v/>
      </c>
      <c r="CU800" s="683" t="str">
        <f t="shared" si="80"/>
        <v/>
      </c>
      <c r="CV800" s="683" t="str">
        <f t="shared" si="81"/>
        <v/>
      </c>
      <c r="CW800" s="683" t="str">
        <f t="shared" si="82"/>
        <v/>
      </c>
      <c r="CX800" s="683" t="str">
        <f t="shared" si="83"/>
        <v/>
      </c>
      <c r="CY800" s="683" t="str">
        <f t="shared" si="84"/>
        <v/>
      </c>
      <c r="CZ800" s="683" t="str">
        <f t="shared" si="85"/>
        <v/>
      </c>
      <c r="DA800" s="683" t="str">
        <f t="shared" si="86"/>
        <v/>
      </c>
      <c r="DB800" s="683" t="str">
        <f t="shared" si="87"/>
        <v/>
      </c>
      <c r="DC800" s="683" t="str">
        <f t="shared" si="88"/>
        <v/>
      </c>
      <c r="DD800" s="683" t="str">
        <f t="shared" si="89"/>
        <v/>
      </c>
      <c r="DE800" s="683" t="str">
        <f t="shared" si="90"/>
        <v/>
      </c>
      <c r="DF800" s="683" t="str">
        <f t="shared" si="91"/>
        <v/>
      </c>
      <c r="DG800" s="683" t="str">
        <f t="shared" si="92"/>
        <v/>
      </c>
      <c r="DH800" s="683" t="str">
        <f t="shared" si="93"/>
        <v/>
      </c>
      <c r="DI800" s="683" t="str">
        <f t="shared" si="94"/>
        <v/>
      </c>
      <c r="DJ800" s="683" t="str">
        <f t="shared" si="95"/>
        <v/>
      </c>
      <c r="DK800" s="683" t="str">
        <f t="shared" si="96"/>
        <v/>
      </c>
      <c r="DL800" s="683" t="str">
        <f t="shared" si="97"/>
        <v/>
      </c>
      <c r="DM800" s="683" t="str">
        <f t="shared" si="98"/>
        <v/>
      </c>
      <c r="DN800" s="683" t="str">
        <f t="shared" si="99"/>
        <v/>
      </c>
      <c r="DO800" s="683" t="str">
        <f t="shared" si="100"/>
        <v/>
      </c>
      <c r="DP800" s="683" t="str">
        <f t="shared" si="101"/>
        <v/>
      </c>
      <c r="DQ800" s="683" t="str">
        <f t="shared" si="102"/>
        <v/>
      </c>
      <c r="DR800" s="683" t="str">
        <f t="shared" si="103"/>
        <v/>
      </c>
      <c r="DS800" s="683" t="str">
        <f t="shared" si="104"/>
        <v/>
      </c>
      <c r="DT800" s="683" t="str">
        <f t="shared" si="105"/>
        <v/>
      </c>
      <c r="DU800" s="683" t="str">
        <f t="shared" si="106"/>
        <v/>
      </c>
      <c r="DV800" s="683" t="str">
        <f t="shared" si="107"/>
        <v/>
      </c>
      <c r="DW800" s="683" t="str">
        <f t="shared" si="108"/>
        <v/>
      </c>
      <c r="DX800" s="683" t="str">
        <f t="shared" si="109"/>
        <v/>
      </c>
      <c r="DY800" s="683" t="str">
        <f t="shared" si="110"/>
        <v/>
      </c>
      <c r="DZ800" s="683" t="str">
        <f t="shared" si="111"/>
        <v/>
      </c>
      <c r="EA800" s="683" t="str">
        <f t="shared" si="112"/>
        <v/>
      </c>
      <c r="EB800" s="683" t="str">
        <f t="shared" si="113"/>
        <v/>
      </c>
      <c r="EC800" s="683" t="str">
        <f t="shared" si="114"/>
        <v/>
      </c>
      <c r="ED800" s="683" t="str">
        <f t="shared" si="115"/>
        <v/>
      </c>
      <c r="EE800" s="683" t="str">
        <f t="shared" si="116"/>
        <v/>
      </c>
      <c r="EF800" s="683" t="str">
        <f t="shared" si="117"/>
        <v/>
      </c>
      <c r="EG800" s="683" t="str">
        <f t="shared" si="118"/>
        <v/>
      </c>
      <c r="EH800" s="683" t="str">
        <f t="shared" si="119"/>
        <v/>
      </c>
      <c r="EI800" s="683" t="str">
        <f t="shared" si="120"/>
        <v/>
      </c>
      <c r="EJ800" s="683" t="str">
        <f t="shared" si="121"/>
        <v/>
      </c>
      <c r="EK800" s="683" t="str">
        <f t="shared" si="122"/>
        <v/>
      </c>
      <c r="EL800" s="683" t="str">
        <f t="shared" si="123"/>
        <v/>
      </c>
      <c r="EM800" s="683" t="str">
        <f t="shared" si="124"/>
        <v/>
      </c>
      <c r="EN800" s="683" t="str">
        <f t="shared" si="125"/>
        <v/>
      </c>
      <c r="EO800" s="683" t="str">
        <f t="shared" si="126"/>
        <v/>
      </c>
      <c r="EP800" s="683" t="str">
        <f t="shared" si="127"/>
        <v/>
      </c>
      <c r="EQ800" s="683" t="str">
        <f t="shared" si="128"/>
        <v/>
      </c>
      <c r="ER800" s="683" t="str">
        <f t="shared" si="129"/>
        <v/>
      </c>
      <c r="ES800" s="683" t="str">
        <f t="shared" si="130"/>
        <v/>
      </c>
      <c r="ET800" s="683" t="str">
        <f t="shared" si="131"/>
        <v/>
      </c>
      <c r="EU800" s="683" t="str">
        <f t="shared" si="132"/>
        <v/>
      </c>
      <c r="EV800" s="683" t="str">
        <f t="shared" si="133"/>
        <v/>
      </c>
      <c r="EW800" s="1854" t="str">
        <f t="shared" si="134"/>
        <v/>
      </c>
      <c r="EX800" s="1854" t="str">
        <f t="shared" si="135"/>
        <v/>
      </c>
      <c r="EY800" s="1854" t="str">
        <f t="shared" si="136"/>
        <v/>
      </c>
      <c r="EZ800" s="1854" t="str">
        <f t="shared" si="137"/>
        <v/>
      </c>
      <c r="FA800" s="1854" t="str">
        <f t="shared" si="138"/>
        <v/>
      </c>
      <c r="FB800" s="1854" t="str">
        <f t="shared" si="139"/>
        <v/>
      </c>
      <c r="FC800" s="1854" t="str">
        <f t="shared" si="140"/>
        <v/>
      </c>
      <c r="FD800" s="1854" t="str">
        <f t="shared" si="141"/>
        <v/>
      </c>
      <c r="FE800" s="1854" t="str">
        <f t="shared" si="142"/>
        <v/>
      </c>
      <c r="FF800" s="1854" t="str">
        <f t="shared" si="143"/>
        <v/>
      </c>
      <c r="FG800" s="1854" t="str">
        <f t="shared" si="144"/>
        <v/>
      </c>
      <c r="FH800" s="1854" t="str">
        <f t="shared" si="145"/>
        <v/>
      </c>
      <c r="FI800" s="1854" t="str">
        <f t="shared" si="146"/>
        <v/>
      </c>
      <c r="FJ800" s="1854" t="str">
        <f t="shared" si="147"/>
        <v/>
      </c>
      <c r="FK800" s="1854" t="str">
        <f t="shared" si="148"/>
        <v/>
      </c>
      <c r="FL800" s="1854" t="str">
        <f t="shared" si="149"/>
        <v/>
      </c>
      <c r="FM800" s="1854" t="str">
        <f t="shared" si="150"/>
        <v/>
      </c>
      <c r="FN800" s="1854" t="str">
        <f t="shared" si="151"/>
        <v/>
      </c>
      <c r="FO800" s="1854" t="str">
        <f t="shared" si="152"/>
        <v/>
      </c>
      <c r="FP800" s="1854" t="str">
        <f t="shared" si="153"/>
        <v/>
      </c>
      <c r="FQ800" s="1854" t="str">
        <f t="shared" si="154"/>
        <v/>
      </c>
      <c r="FR800" s="1854" t="str">
        <f t="shared" si="155"/>
        <v/>
      </c>
      <c r="FS800" s="1854" t="str">
        <f t="shared" si="156"/>
        <v/>
      </c>
      <c r="FT800" s="1854" t="str">
        <f t="shared" si="157"/>
        <v/>
      </c>
      <c r="FU800" s="1854" t="str">
        <f t="shared" si="158"/>
        <v/>
      </c>
      <c r="FV800" s="1854" t="str">
        <f t="shared" si="159"/>
        <v/>
      </c>
      <c r="FW800" s="1854" t="str">
        <f t="shared" si="160"/>
        <v/>
      </c>
      <c r="FX800" s="1854" t="str">
        <f t="shared" si="161"/>
        <v/>
      </c>
      <c r="FY800" s="1854" t="str">
        <f t="shared" si="162"/>
        <v/>
      </c>
      <c r="FZ800" s="1854" t="str">
        <f t="shared" si="163"/>
        <v/>
      </c>
      <c r="GA800" s="1854" t="str">
        <f t="shared" si="164"/>
        <v/>
      </c>
      <c r="GB800" s="1854" t="str">
        <f t="shared" si="165"/>
        <v/>
      </c>
      <c r="GC800" s="1854" t="str">
        <f t="shared" si="166"/>
        <v/>
      </c>
      <c r="GD800" s="1854" t="str">
        <f t="shared" si="167"/>
        <v/>
      </c>
      <c r="GE800" s="1854" t="str">
        <f t="shared" si="168"/>
        <v/>
      </c>
      <c r="GF800" s="1854" t="str">
        <f t="shared" si="169"/>
        <v/>
      </c>
      <c r="GG800" s="1854" t="str">
        <f t="shared" si="170"/>
        <v/>
      </c>
      <c r="GH800" s="1854" t="str">
        <f t="shared" si="171"/>
        <v/>
      </c>
      <c r="GI800" s="1854" t="str">
        <f t="shared" si="172"/>
        <v/>
      </c>
      <c r="GJ800" s="1854" t="str">
        <f t="shared" si="173"/>
        <v/>
      </c>
      <c r="GK800" s="1854" t="str">
        <f t="shared" si="174"/>
        <v/>
      </c>
      <c r="GL800" s="1854" t="str">
        <f t="shared" si="175"/>
        <v/>
      </c>
      <c r="GM800" s="1854" t="str">
        <f t="shared" si="176"/>
        <v/>
      </c>
      <c r="GN800" s="1854" t="str">
        <f t="shared" si="177"/>
        <v/>
      </c>
      <c r="GO800" s="1854" t="str">
        <f t="shared" si="178"/>
        <v/>
      </c>
      <c r="GP800" s="1854" t="str">
        <f t="shared" si="179"/>
        <v/>
      </c>
      <c r="GQ800" s="1854" t="str">
        <f t="shared" si="180"/>
        <v/>
      </c>
      <c r="GR800" s="1854" t="str">
        <f t="shared" si="181"/>
        <v/>
      </c>
      <c r="GS800" s="1854" t="str">
        <f t="shared" si="182"/>
        <v/>
      </c>
      <c r="GT800" s="1854" t="str">
        <f t="shared" si="183"/>
        <v/>
      </c>
      <c r="GU800" s="1854" t="str">
        <f t="shared" si="184"/>
        <v/>
      </c>
      <c r="GV800" s="1854" t="str">
        <f t="shared" si="185"/>
        <v/>
      </c>
      <c r="GW800" s="1854" t="str">
        <f t="shared" si="186"/>
        <v/>
      </c>
      <c r="GX800" s="1854" t="str">
        <f t="shared" si="187"/>
        <v/>
      </c>
      <c r="GY800" s="1854" t="str">
        <f t="shared" si="188"/>
        <v/>
      </c>
      <c r="GZ800" s="1854" t="str">
        <f t="shared" si="189"/>
        <v/>
      </c>
      <c r="HA800" s="1854" t="str">
        <f t="shared" si="190"/>
        <v/>
      </c>
      <c r="HB800" s="1854" t="str">
        <f t="shared" si="191"/>
        <v/>
      </c>
      <c r="HC800" s="1854" t="str">
        <f t="shared" si="192"/>
        <v/>
      </c>
      <c r="HD800" s="1854" t="str">
        <f t="shared" si="193"/>
        <v/>
      </c>
      <c r="HE800" s="1854" t="str">
        <f t="shared" si="194"/>
        <v/>
      </c>
      <c r="HF800" s="1854" t="str">
        <f t="shared" si="195"/>
        <v/>
      </c>
      <c r="HG800" s="1854" t="str">
        <f t="shared" si="196"/>
        <v/>
      </c>
      <c r="HH800" s="1854" t="str">
        <f t="shared" si="197"/>
        <v/>
      </c>
      <c r="HI800" s="1854" t="str">
        <f t="shared" si="198"/>
        <v/>
      </c>
      <c r="HJ800" s="1854" t="str">
        <f t="shared" si="199"/>
        <v/>
      </c>
      <c r="HK800" s="1854" t="str">
        <f t="shared" si="200"/>
        <v/>
      </c>
      <c r="HL800" s="1854" t="str">
        <f t="shared" si="201"/>
        <v/>
      </c>
      <c r="HM800" s="1854" t="str">
        <f t="shared" si="202"/>
        <v/>
      </c>
      <c r="HN800" s="1854" t="str">
        <f t="shared" si="203"/>
        <v/>
      </c>
      <c r="HO800" s="1854" t="str">
        <f t="shared" si="204"/>
        <v/>
      </c>
      <c r="HP800" s="1854" t="str">
        <f t="shared" si="205"/>
        <v/>
      </c>
      <c r="HQ800" s="1854" t="str">
        <f t="shared" si="206"/>
        <v/>
      </c>
      <c r="HR800" s="1854" t="str">
        <f t="shared" si="207"/>
        <v/>
      </c>
      <c r="HS800" s="1854" t="str">
        <f t="shared" si="208"/>
        <v/>
      </c>
      <c r="HT800" s="1854" t="str">
        <f t="shared" si="209"/>
        <v/>
      </c>
      <c r="HU800" s="1854" t="str">
        <f t="shared" si="210"/>
        <v/>
      </c>
      <c r="HV800" s="1854" t="str">
        <f t="shared" si="211"/>
        <v/>
      </c>
      <c r="HW800" s="1854" t="str">
        <f t="shared" si="212"/>
        <v/>
      </c>
      <c r="HX800" s="1854" t="str">
        <f t="shared" si="213"/>
        <v/>
      </c>
      <c r="HY800" s="1854" t="str">
        <f t="shared" si="214"/>
        <v/>
      </c>
      <c r="HZ800" s="1854" t="str">
        <f t="shared" si="215"/>
        <v/>
      </c>
      <c r="IA800" s="1854" t="str">
        <f t="shared" si="216"/>
        <v/>
      </c>
      <c r="IB800" s="1854" t="str">
        <f t="shared" si="217"/>
        <v/>
      </c>
      <c r="IC800" s="1854" t="str">
        <f t="shared" si="218"/>
        <v/>
      </c>
      <c r="ID800" s="1826" t="str">
        <f t="shared" si="219"/>
        <v/>
      </c>
      <c r="IE800" s="1826" t="str">
        <f t="shared" si="220"/>
        <v/>
      </c>
      <c r="IF800" s="1826" t="str">
        <f t="shared" si="221"/>
        <v/>
      </c>
      <c r="IG800" s="1826" t="str">
        <f t="shared" si="222"/>
        <v/>
      </c>
      <c r="IH800" s="1826" t="str">
        <f t="shared" si="223"/>
        <v/>
      </c>
      <c r="II800" s="683" t="str">
        <f t="shared" si="224"/>
        <v/>
      </c>
      <c r="IJ800" s="683" t="str">
        <f t="shared" si="225"/>
        <v/>
      </c>
      <c r="IK800" s="683" t="str">
        <f t="shared" si="226"/>
        <v/>
      </c>
      <c r="IL800" s="683" t="str">
        <f t="shared" si="227"/>
        <v/>
      </c>
      <c r="IM800" s="683" t="str">
        <f t="shared" si="228"/>
        <v/>
      </c>
      <c r="IN800" s="683" t="str">
        <f t="shared" si="229"/>
        <v/>
      </c>
      <c r="IO800" s="683" t="str">
        <f t="shared" si="230"/>
        <v/>
      </c>
      <c r="IP800" s="683" t="str">
        <f t="shared" si="231"/>
        <v/>
      </c>
      <c r="IQ800" s="683" t="str">
        <f t="shared" si="232"/>
        <v/>
      </c>
      <c r="IR800" s="683" t="str">
        <f t="shared" si="233"/>
        <v/>
      </c>
      <c r="IS800" s="683" t="str">
        <f t="shared" si="234"/>
        <v/>
      </c>
      <c r="IT800" s="683" t="str">
        <f t="shared" si="235"/>
        <v/>
      </c>
      <c r="IU800" s="683" t="str">
        <f t="shared" si="236"/>
        <v/>
      </c>
      <c r="IV800" s="683" t="str">
        <f t="shared" si="237"/>
        <v/>
      </c>
      <c r="IW800" s="683" t="str">
        <f t="shared" si="238"/>
        <v/>
      </c>
      <c r="IX800" s="683" t="str">
        <f t="shared" si="239"/>
        <v/>
      </c>
      <c r="IY800" s="683" t="str">
        <f t="shared" si="240"/>
        <v/>
      </c>
      <c r="IZ800" s="683" t="str">
        <f t="shared" si="241"/>
        <v/>
      </c>
      <c r="JA800" s="683" t="str">
        <f t="shared" si="242"/>
        <v/>
      </c>
      <c r="JB800" s="683" t="str">
        <f t="shared" si="243"/>
        <v/>
      </c>
      <c r="JC800" s="1824">
        <f t="shared" si="244"/>
        <v>0</v>
      </c>
      <c r="JD800" s="1824">
        <f t="shared" si="245"/>
        <v>0</v>
      </c>
      <c r="JE800" s="1824">
        <f t="shared" si="246"/>
        <v>0</v>
      </c>
      <c r="JF800" s="1824">
        <f t="shared" si="247"/>
        <v>0</v>
      </c>
      <c r="JG800" s="1824">
        <f t="shared" si="248"/>
        <v>0</v>
      </c>
      <c r="JH800" s="1824">
        <f t="shared" si="249"/>
        <v>0</v>
      </c>
      <c r="JI800" s="1824">
        <f t="shared" si="250"/>
        <v>0</v>
      </c>
      <c r="JJ800" s="1824">
        <f t="shared" si="251"/>
        <v>0</v>
      </c>
      <c r="JK800" s="1824">
        <f t="shared" si="252"/>
        <v>0</v>
      </c>
      <c r="JL800" s="1824">
        <f t="shared" si="253"/>
        <v>0</v>
      </c>
      <c r="JM800" s="1824">
        <f t="shared" si="254"/>
        <v>0</v>
      </c>
      <c r="JN800" s="1824">
        <f t="shared" si="255"/>
        <v>0</v>
      </c>
      <c r="JO800" s="1824">
        <f t="shared" si="256"/>
        <v>0</v>
      </c>
      <c r="JP800" s="1824">
        <f t="shared" si="257"/>
        <v>0</v>
      </c>
      <c r="JQ800" s="1824">
        <f t="shared" si="258"/>
        <v>0</v>
      </c>
    </row>
    <row r="801" spans="1:278" ht="12" customHeight="1">
      <c r="A801" s="1837" t="str">
        <f t="shared" si="1"/>
        <v/>
      </c>
      <c r="B801" s="1846" t="str">
        <f>'Part VI-Revenues &amp; Expenses'!B44</f>
        <v>&lt;&lt;Select&gt;&gt;</v>
      </c>
      <c r="C801" s="1847">
        <f>'Part VI-Revenues &amp; Expenses'!C44</f>
        <v>0</v>
      </c>
      <c r="D801" s="1848">
        <f>'Part VI-Revenues &amp; Expenses'!D44</f>
        <v>0</v>
      </c>
      <c r="E801" s="1849">
        <f>'Part VI-Revenues &amp; Expenses'!E44</f>
        <v>0</v>
      </c>
      <c r="F801" s="1849">
        <f>'Part VI-Revenues &amp; Expenses'!F44</f>
        <v>0</v>
      </c>
      <c r="G801" s="1849">
        <f>'Part VI-Revenues &amp; Expenses'!G44</f>
        <v>0</v>
      </c>
      <c r="H801" s="1849">
        <f>'Part VI-Revenues &amp; Expenses'!H44</f>
        <v>0</v>
      </c>
      <c r="I801" s="1849">
        <f>'Part VI-Revenues &amp; Expenses'!I44</f>
        <v>0</v>
      </c>
      <c r="J801" s="1850">
        <f>'Part VI-Revenues &amp; Expenses'!J44</f>
        <v>0</v>
      </c>
      <c r="K801" s="1851">
        <f t="shared" si="2"/>
        <v>0</v>
      </c>
      <c r="L801" s="1851">
        <f t="shared" si="3"/>
        <v>0</v>
      </c>
      <c r="M801" s="1725">
        <f>'Part VI-Revenues &amp; Expenses'!M44</f>
        <v>0</v>
      </c>
      <c r="N801" s="1725">
        <f>'Part VI-Revenues &amp; Expenses'!N44</f>
        <v>0</v>
      </c>
      <c r="O801" s="1725">
        <f>'Part VI-Revenues &amp; Expenses'!O44</f>
        <v>0</v>
      </c>
      <c r="P801" s="1831">
        <f>'Part VI-Revenues &amp; Expenses'!P44</f>
        <v>0</v>
      </c>
      <c r="Q801" s="1852" t="str">
        <f>'Part VI-Revenues &amp; Expenses'!Q44</f>
        <v/>
      </c>
      <c r="R801" s="1853" t="str">
        <f>'Part VI-Revenues &amp; Expenses'!R44</f>
        <v/>
      </c>
      <c r="S801" s="1852">
        <f>'Part VI-Revenues &amp; Expenses'!S44</f>
        <v>0</v>
      </c>
      <c r="T801" s="1853">
        <f>'Part VI-Revenues &amp; Expenses'!T44</f>
        <v>0</v>
      </c>
      <c r="U801" s="1775"/>
      <c r="V801" s="1775"/>
      <c r="W801" s="683" t="str">
        <f t="shared" si="4"/>
        <v/>
      </c>
      <c r="X801" s="683" t="str">
        <f t="shared" si="5"/>
        <v/>
      </c>
      <c r="Y801" s="683" t="str">
        <f t="shared" si="6"/>
        <v/>
      </c>
      <c r="Z801" s="683" t="str">
        <f t="shared" si="7"/>
        <v/>
      </c>
      <c r="AA801" s="683" t="str">
        <f t="shared" si="8"/>
        <v/>
      </c>
      <c r="AB801" s="683" t="str">
        <f t="shared" si="9"/>
        <v/>
      </c>
      <c r="AC801" s="683" t="str">
        <f t="shared" si="10"/>
        <v/>
      </c>
      <c r="AD801" s="683" t="str">
        <f t="shared" si="11"/>
        <v/>
      </c>
      <c r="AE801" s="683" t="str">
        <f t="shared" si="12"/>
        <v/>
      </c>
      <c r="AF801" s="683" t="str">
        <f t="shared" si="13"/>
        <v/>
      </c>
      <c r="AG801" s="683" t="str">
        <f t="shared" si="14"/>
        <v/>
      </c>
      <c r="AH801" s="683" t="str">
        <f t="shared" si="15"/>
        <v/>
      </c>
      <c r="AI801" s="683" t="str">
        <f t="shared" si="16"/>
        <v/>
      </c>
      <c r="AJ801" s="683" t="str">
        <f t="shared" si="17"/>
        <v/>
      </c>
      <c r="AK801" s="683" t="str">
        <f t="shared" si="18"/>
        <v/>
      </c>
      <c r="AL801" s="683" t="str">
        <f t="shared" si="19"/>
        <v/>
      </c>
      <c r="AM801" s="683" t="str">
        <f t="shared" si="20"/>
        <v/>
      </c>
      <c r="AN801" s="683" t="str">
        <f t="shared" si="21"/>
        <v/>
      </c>
      <c r="AO801" s="683" t="str">
        <f t="shared" si="22"/>
        <v/>
      </c>
      <c r="AP801" s="683" t="str">
        <f t="shared" si="23"/>
        <v/>
      </c>
      <c r="AQ801" s="683" t="str">
        <f t="shared" si="24"/>
        <v/>
      </c>
      <c r="AR801" s="683" t="str">
        <f t="shared" si="25"/>
        <v/>
      </c>
      <c r="AS801" s="683" t="str">
        <f t="shared" si="26"/>
        <v/>
      </c>
      <c r="AT801" s="683" t="str">
        <f t="shared" si="27"/>
        <v/>
      </c>
      <c r="AU801" s="683" t="str">
        <f t="shared" si="28"/>
        <v/>
      </c>
      <c r="AV801" s="683" t="str">
        <f t="shared" si="29"/>
        <v/>
      </c>
      <c r="AW801" s="683" t="str">
        <f t="shared" si="30"/>
        <v/>
      </c>
      <c r="AX801" s="683" t="str">
        <f t="shared" si="31"/>
        <v/>
      </c>
      <c r="AY801" s="683" t="str">
        <f t="shared" si="32"/>
        <v/>
      </c>
      <c r="AZ801" s="683" t="str">
        <f t="shared" si="33"/>
        <v/>
      </c>
      <c r="BA801" s="683" t="str">
        <f t="shared" si="34"/>
        <v/>
      </c>
      <c r="BB801" s="683" t="str">
        <f t="shared" si="35"/>
        <v/>
      </c>
      <c r="BC801" s="683" t="str">
        <f t="shared" si="36"/>
        <v/>
      </c>
      <c r="BD801" s="683" t="str">
        <f t="shared" si="37"/>
        <v/>
      </c>
      <c r="BE801" s="683" t="str">
        <f t="shared" si="38"/>
        <v/>
      </c>
      <c r="BF801" s="683" t="str">
        <f t="shared" si="39"/>
        <v/>
      </c>
      <c r="BG801" s="683" t="str">
        <f t="shared" si="40"/>
        <v/>
      </c>
      <c r="BH801" s="683" t="str">
        <f t="shared" si="41"/>
        <v/>
      </c>
      <c r="BI801" s="683" t="str">
        <f t="shared" si="42"/>
        <v/>
      </c>
      <c r="BJ801" s="683" t="str">
        <f t="shared" si="43"/>
        <v/>
      </c>
      <c r="BK801" s="683" t="str">
        <f t="shared" si="44"/>
        <v/>
      </c>
      <c r="BL801" s="683" t="str">
        <f t="shared" si="45"/>
        <v/>
      </c>
      <c r="BM801" s="683" t="str">
        <f t="shared" si="46"/>
        <v/>
      </c>
      <c r="BN801" s="683" t="str">
        <f t="shared" si="47"/>
        <v/>
      </c>
      <c r="BO801" s="683" t="str">
        <f t="shared" si="48"/>
        <v/>
      </c>
      <c r="BP801" s="683" t="str">
        <f t="shared" si="49"/>
        <v/>
      </c>
      <c r="BQ801" s="683" t="str">
        <f t="shared" si="50"/>
        <v/>
      </c>
      <c r="BR801" s="683" t="str">
        <f t="shared" si="51"/>
        <v/>
      </c>
      <c r="BS801" s="683" t="str">
        <f t="shared" si="52"/>
        <v/>
      </c>
      <c r="BT801" s="683" t="str">
        <f t="shared" si="53"/>
        <v/>
      </c>
      <c r="BU801" s="683" t="str">
        <f t="shared" si="54"/>
        <v/>
      </c>
      <c r="BV801" s="683" t="str">
        <f t="shared" si="55"/>
        <v/>
      </c>
      <c r="BW801" s="683" t="str">
        <f t="shared" si="56"/>
        <v/>
      </c>
      <c r="BX801" s="683" t="str">
        <f t="shared" si="57"/>
        <v/>
      </c>
      <c r="BY801" s="683" t="str">
        <f t="shared" si="58"/>
        <v/>
      </c>
      <c r="BZ801" s="683" t="str">
        <f t="shared" si="59"/>
        <v/>
      </c>
      <c r="CA801" s="683" t="str">
        <f t="shared" si="60"/>
        <v/>
      </c>
      <c r="CB801" s="683" t="str">
        <f t="shared" si="61"/>
        <v/>
      </c>
      <c r="CC801" s="683" t="str">
        <f t="shared" si="62"/>
        <v/>
      </c>
      <c r="CD801" s="683" t="str">
        <f t="shared" si="63"/>
        <v/>
      </c>
      <c r="CE801" s="683" t="str">
        <f t="shared" si="64"/>
        <v/>
      </c>
      <c r="CF801" s="683" t="str">
        <f t="shared" si="65"/>
        <v/>
      </c>
      <c r="CG801" s="683" t="str">
        <f t="shared" si="66"/>
        <v/>
      </c>
      <c r="CH801" s="683" t="str">
        <f t="shared" si="67"/>
        <v/>
      </c>
      <c r="CI801" s="683" t="str">
        <f t="shared" si="68"/>
        <v/>
      </c>
      <c r="CJ801" s="683" t="str">
        <f t="shared" si="69"/>
        <v/>
      </c>
      <c r="CK801" s="683" t="str">
        <f t="shared" si="70"/>
        <v/>
      </c>
      <c r="CL801" s="683" t="str">
        <f t="shared" si="71"/>
        <v/>
      </c>
      <c r="CM801" s="683" t="str">
        <f t="shared" si="72"/>
        <v/>
      </c>
      <c r="CN801" s="683" t="str">
        <f t="shared" si="73"/>
        <v/>
      </c>
      <c r="CO801" s="683" t="str">
        <f t="shared" si="74"/>
        <v/>
      </c>
      <c r="CP801" s="683" t="str">
        <f t="shared" si="75"/>
        <v/>
      </c>
      <c r="CQ801" s="683" t="str">
        <f t="shared" si="76"/>
        <v/>
      </c>
      <c r="CR801" s="683" t="str">
        <f t="shared" si="77"/>
        <v/>
      </c>
      <c r="CS801" s="683" t="str">
        <f t="shared" si="78"/>
        <v/>
      </c>
      <c r="CT801" s="683" t="str">
        <f t="shared" si="79"/>
        <v/>
      </c>
      <c r="CU801" s="683" t="str">
        <f t="shared" si="80"/>
        <v/>
      </c>
      <c r="CV801" s="683" t="str">
        <f t="shared" si="81"/>
        <v/>
      </c>
      <c r="CW801" s="683" t="str">
        <f t="shared" si="82"/>
        <v/>
      </c>
      <c r="CX801" s="683" t="str">
        <f t="shared" si="83"/>
        <v/>
      </c>
      <c r="CY801" s="683" t="str">
        <f t="shared" si="84"/>
        <v/>
      </c>
      <c r="CZ801" s="683" t="str">
        <f t="shared" si="85"/>
        <v/>
      </c>
      <c r="DA801" s="683" t="str">
        <f t="shared" si="86"/>
        <v/>
      </c>
      <c r="DB801" s="683" t="str">
        <f t="shared" si="87"/>
        <v/>
      </c>
      <c r="DC801" s="683" t="str">
        <f t="shared" si="88"/>
        <v/>
      </c>
      <c r="DD801" s="683" t="str">
        <f t="shared" si="89"/>
        <v/>
      </c>
      <c r="DE801" s="683" t="str">
        <f t="shared" si="90"/>
        <v/>
      </c>
      <c r="DF801" s="683" t="str">
        <f t="shared" si="91"/>
        <v/>
      </c>
      <c r="DG801" s="683" t="str">
        <f t="shared" si="92"/>
        <v/>
      </c>
      <c r="DH801" s="683" t="str">
        <f t="shared" si="93"/>
        <v/>
      </c>
      <c r="DI801" s="683" t="str">
        <f t="shared" si="94"/>
        <v/>
      </c>
      <c r="DJ801" s="683" t="str">
        <f t="shared" si="95"/>
        <v/>
      </c>
      <c r="DK801" s="683" t="str">
        <f t="shared" si="96"/>
        <v/>
      </c>
      <c r="DL801" s="683" t="str">
        <f t="shared" si="97"/>
        <v/>
      </c>
      <c r="DM801" s="683" t="str">
        <f t="shared" si="98"/>
        <v/>
      </c>
      <c r="DN801" s="683" t="str">
        <f t="shared" si="99"/>
        <v/>
      </c>
      <c r="DO801" s="683" t="str">
        <f t="shared" si="100"/>
        <v/>
      </c>
      <c r="DP801" s="683" t="str">
        <f t="shared" si="101"/>
        <v/>
      </c>
      <c r="DQ801" s="683" t="str">
        <f t="shared" si="102"/>
        <v/>
      </c>
      <c r="DR801" s="683" t="str">
        <f t="shared" si="103"/>
        <v/>
      </c>
      <c r="DS801" s="683" t="str">
        <f t="shared" si="104"/>
        <v/>
      </c>
      <c r="DT801" s="683" t="str">
        <f t="shared" si="105"/>
        <v/>
      </c>
      <c r="DU801" s="683" t="str">
        <f t="shared" si="106"/>
        <v/>
      </c>
      <c r="DV801" s="683" t="str">
        <f t="shared" si="107"/>
        <v/>
      </c>
      <c r="DW801" s="683" t="str">
        <f t="shared" si="108"/>
        <v/>
      </c>
      <c r="DX801" s="683" t="str">
        <f t="shared" si="109"/>
        <v/>
      </c>
      <c r="DY801" s="683" t="str">
        <f t="shared" si="110"/>
        <v/>
      </c>
      <c r="DZ801" s="683" t="str">
        <f t="shared" si="111"/>
        <v/>
      </c>
      <c r="EA801" s="683" t="str">
        <f t="shared" si="112"/>
        <v/>
      </c>
      <c r="EB801" s="683" t="str">
        <f t="shared" si="113"/>
        <v/>
      </c>
      <c r="EC801" s="683" t="str">
        <f t="shared" si="114"/>
        <v/>
      </c>
      <c r="ED801" s="683" t="str">
        <f t="shared" si="115"/>
        <v/>
      </c>
      <c r="EE801" s="683" t="str">
        <f t="shared" si="116"/>
        <v/>
      </c>
      <c r="EF801" s="683" t="str">
        <f t="shared" si="117"/>
        <v/>
      </c>
      <c r="EG801" s="683" t="str">
        <f t="shared" si="118"/>
        <v/>
      </c>
      <c r="EH801" s="683" t="str">
        <f t="shared" si="119"/>
        <v/>
      </c>
      <c r="EI801" s="683" t="str">
        <f t="shared" si="120"/>
        <v/>
      </c>
      <c r="EJ801" s="683" t="str">
        <f t="shared" si="121"/>
        <v/>
      </c>
      <c r="EK801" s="683" t="str">
        <f t="shared" si="122"/>
        <v/>
      </c>
      <c r="EL801" s="683" t="str">
        <f t="shared" si="123"/>
        <v/>
      </c>
      <c r="EM801" s="683" t="str">
        <f t="shared" si="124"/>
        <v/>
      </c>
      <c r="EN801" s="683" t="str">
        <f t="shared" si="125"/>
        <v/>
      </c>
      <c r="EO801" s="683" t="str">
        <f t="shared" si="126"/>
        <v/>
      </c>
      <c r="EP801" s="683" t="str">
        <f t="shared" si="127"/>
        <v/>
      </c>
      <c r="EQ801" s="683" t="str">
        <f t="shared" si="128"/>
        <v/>
      </c>
      <c r="ER801" s="683" t="str">
        <f t="shared" si="129"/>
        <v/>
      </c>
      <c r="ES801" s="683" t="str">
        <f t="shared" si="130"/>
        <v/>
      </c>
      <c r="ET801" s="683" t="str">
        <f t="shared" si="131"/>
        <v/>
      </c>
      <c r="EU801" s="683" t="str">
        <f t="shared" si="132"/>
        <v/>
      </c>
      <c r="EV801" s="683" t="str">
        <f t="shared" si="133"/>
        <v/>
      </c>
      <c r="EW801" s="1854" t="str">
        <f t="shared" si="134"/>
        <v/>
      </c>
      <c r="EX801" s="1854" t="str">
        <f t="shared" si="135"/>
        <v/>
      </c>
      <c r="EY801" s="1854" t="str">
        <f t="shared" si="136"/>
        <v/>
      </c>
      <c r="EZ801" s="1854" t="str">
        <f t="shared" si="137"/>
        <v/>
      </c>
      <c r="FA801" s="1854" t="str">
        <f t="shared" si="138"/>
        <v/>
      </c>
      <c r="FB801" s="1854" t="str">
        <f t="shared" si="139"/>
        <v/>
      </c>
      <c r="FC801" s="1854" t="str">
        <f t="shared" si="140"/>
        <v/>
      </c>
      <c r="FD801" s="1854" t="str">
        <f t="shared" si="141"/>
        <v/>
      </c>
      <c r="FE801" s="1854" t="str">
        <f t="shared" si="142"/>
        <v/>
      </c>
      <c r="FF801" s="1854" t="str">
        <f t="shared" si="143"/>
        <v/>
      </c>
      <c r="FG801" s="1854" t="str">
        <f t="shared" si="144"/>
        <v/>
      </c>
      <c r="FH801" s="1854" t="str">
        <f t="shared" si="145"/>
        <v/>
      </c>
      <c r="FI801" s="1854" t="str">
        <f t="shared" si="146"/>
        <v/>
      </c>
      <c r="FJ801" s="1854" t="str">
        <f t="shared" si="147"/>
        <v/>
      </c>
      <c r="FK801" s="1854" t="str">
        <f t="shared" si="148"/>
        <v/>
      </c>
      <c r="FL801" s="1854" t="str">
        <f t="shared" si="149"/>
        <v/>
      </c>
      <c r="FM801" s="1854" t="str">
        <f t="shared" si="150"/>
        <v/>
      </c>
      <c r="FN801" s="1854" t="str">
        <f t="shared" si="151"/>
        <v/>
      </c>
      <c r="FO801" s="1854" t="str">
        <f t="shared" si="152"/>
        <v/>
      </c>
      <c r="FP801" s="1854" t="str">
        <f t="shared" si="153"/>
        <v/>
      </c>
      <c r="FQ801" s="1854" t="str">
        <f t="shared" si="154"/>
        <v/>
      </c>
      <c r="FR801" s="1854" t="str">
        <f t="shared" si="155"/>
        <v/>
      </c>
      <c r="FS801" s="1854" t="str">
        <f t="shared" si="156"/>
        <v/>
      </c>
      <c r="FT801" s="1854" t="str">
        <f t="shared" si="157"/>
        <v/>
      </c>
      <c r="FU801" s="1854" t="str">
        <f t="shared" si="158"/>
        <v/>
      </c>
      <c r="FV801" s="1854" t="str">
        <f t="shared" si="159"/>
        <v/>
      </c>
      <c r="FW801" s="1854" t="str">
        <f t="shared" si="160"/>
        <v/>
      </c>
      <c r="FX801" s="1854" t="str">
        <f t="shared" si="161"/>
        <v/>
      </c>
      <c r="FY801" s="1854" t="str">
        <f t="shared" si="162"/>
        <v/>
      </c>
      <c r="FZ801" s="1854" t="str">
        <f t="shared" si="163"/>
        <v/>
      </c>
      <c r="GA801" s="1854" t="str">
        <f t="shared" si="164"/>
        <v/>
      </c>
      <c r="GB801" s="1854" t="str">
        <f t="shared" si="165"/>
        <v/>
      </c>
      <c r="GC801" s="1854" t="str">
        <f t="shared" si="166"/>
        <v/>
      </c>
      <c r="GD801" s="1854" t="str">
        <f t="shared" si="167"/>
        <v/>
      </c>
      <c r="GE801" s="1854" t="str">
        <f t="shared" si="168"/>
        <v/>
      </c>
      <c r="GF801" s="1854" t="str">
        <f t="shared" si="169"/>
        <v/>
      </c>
      <c r="GG801" s="1854" t="str">
        <f t="shared" si="170"/>
        <v/>
      </c>
      <c r="GH801" s="1854" t="str">
        <f t="shared" si="171"/>
        <v/>
      </c>
      <c r="GI801" s="1854" t="str">
        <f t="shared" si="172"/>
        <v/>
      </c>
      <c r="GJ801" s="1854" t="str">
        <f t="shared" si="173"/>
        <v/>
      </c>
      <c r="GK801" s="1854" t="str">
        <f t="shared" si="174"/>
        <v/>
      </c>
      <c r="GL801" s="1854" t="str">
        <f t="shared" si="175"/>
        <v/>
      </c>
      <c r="GM801" s="1854" t="str">
        <f t="shared" si="176"/>
        <v/>
      </c>
      <c r="GN801" s="1854" t="str">
        <f t="shared" si="177"/>
        <v/>
      </c>
      <c r="GO801" s="1854" t="str">
        <f t="shared" si="178"/>
        <v/>
      </c>
      <c r="GP801" s="1854" t="str">
        <f t="shared" si="179"/>
        <v/>
      </c>
      <c r="GQ801" s="1854" t="str">
        <f t="shared" si="180"/>
        <v/>
      </c>
      <c r="GR801" s="1854" t="str">
        <f t="shared" si="181"/>
        <v/>
      </c>
      <c r="GS801" s="1854" t="str">
        <f t="shared" si="182"/>
        <v/>
      </c>
      <c r="GT801" s="1854" t="str">
        <f t="shared" si="183"/>
        <v/>
      </c>
      <c r="GU801" s="1854" t="str">
        <f t="shared" si="184"/>
        <v/>
      </c>
      <c r="GV801" s="1854" t="str">
        <f t="shared" si="185"/>
        <v/>
      </c>
      <c r="GW801" s="1854" t="str">
        <f t="shared" si="186"/>
        <v/>
      </c>
      <c r="GX801" s="1854" t="str">
        <f t="shared" si="187"/>
        <v/>
      </c>
      <c r="GY801" s="1854" t="str">
        <f t="shared" si="188"/>
        <v/>
      </c>
      <c r="GZ801" s="1854" t="str">
        <f t="shared" si="189"/>
        <v/>
      </c>
      <c r="HA801" s="1854" t="str">
        <f t="shared" si="190"/>
        <v/>
      </c>
      <c r="HB801" s="1854" t="str">
        <f t="shared" si="191"/>
        <v/>
      </c>
      <c r="HC801" s="1854" t="str">
        <f t="shared" si="192"/>
        <v/>
      </c>
      <c r="HD801" s="1854" t="str">
        <f t="shared" si="193"/>
        <v/>
      </c>
      <c r="HE801" s="1854" t="str">
        <f t="shared" si="194"/>
        <v/>
      </c>
      <c r="HF801" s="1854" t="str">
        <f t="shared" si="195"/>
        <v/>
      </c>
      <c r="HG801" s="1854" t="str">
        <f t="shared" si="196"/>
        <v/>
      </c>
      <c r="HH801" s="1854" t="str">
        <f t="shared" si="197"/>
        <v/>
      </c>
      <c r="HI801" s="1854" t="str">
        <f t="shared" si="198"/>
        <v/>
      </c>
      <c r="HJ801" s="1854" t="str">
        <f t="shared" si="199"/>
        <v/>
      </c>
      <c r="HK801" s="1854" t="str">
        <f t="shared" si="200"/>
        <v/>
      </c>
      <c r="HL801" s="1854" t="str">
        <f t="shared" si="201"/>
        <v/>
      </c>
      <c r="HM801" s="1854" t="str">
        <f t="shared" si="202"/>
        <v/>
      </c>
      <c r="HN801" s="1854" t="str">
        <f t="shared" si="203"/>
        <v/>
      </c>
      <c r="HO801" s="1854" t="str">
        <f t="shared" si="204"/>
        <v/>
      </c>
      <c r="HP801" s="1854" t="str">
        <f t="shared" si="205"/>
        <v/>
      </c>
      <c r="HQ801" s="1854" t="str">
        <f t="shared" si="206"/>
        <v/>
      </c>
      <c r="HR801" s="1854" t="str">
        <f t="shared" si="207"/>
        <v/>
      </c>
      <c r="HS801" s="1854" t="str">
        <f t="shared" si="208"/>
        <v/>
      </c>
      <c r="HT801" s="1854" t="str">
        <f t="shared" si="209"/>
        <v/>
      </c>
      <c r="HU801" s="1854" t="str">
        <f t="shared" si="210"/>
        <v/>
      </c>
      <c r="HV801" s="1854" t="str">
        <f t="shared" si="211"/>
        <v/>
      </c>
      <c r="HW801" s="1854" t="str">
        <f t="shared" si="212"/>
        <v/>
      </c>
      <c r="HX801" s="1854" t="str">
        <f t="shared" si="213"/>
        <v/>
      </c>
      <c r="HY801" s="1854" t="str">
        <f t="shared" si="214"/>
        <v/>
      </c>
      <c r="HZ801" s="1854" t="str">
        <f t="shared" si="215"/>
        <v/>
      </c>
      <c r="IA801" s="1854" t="str">
        <f t="shared" si="216"/>
        <v/>
      </c>
      <c r="IB801" s="1854" t="str">
        <f t="shared" si="217"/>
        <v/>
      </c>
      <c r="IC801" s="1854" t="str">
        <f t="shared" si="218"/>
        <v/>
      </c>
      <c r="ID801" s="1826" t="str">
        <f t="shared" si="219"/>
        <v/>
      </c>
      <c r="IE801" s="1826" t="str">
        <f t="shared" si="220"/>
        <v/>
      </c>
      <c r="IF801" s="1826" t="str">
        <f t="shared" si="221"/>
        <v/>
      </c>
      <c r="IG801" s="1826" t="str">
        <f t="shared" si="222"/>
        <v/>
      </c>
      <c r="IH801" s="1826" t="str">
        <f t="shared" si="223"/>
        <v/>
      </c>
      <c r="II801" s="683" t="str">
        <f t="shared" si="224"/>
        <v/>
      </c>
      <c r="IJ801" s="683" t="str">
        <f t="shared" si="225"/>
        <v/>
      </c>
      <c r="IK801" s="683" t="str">
        <f t="shared" si="226"/>
        <v/>
      </c>
      <c r="IL801" s="683" t="str">
        <f t="shared" si="227"/>
        <v/>
      </c>
      <c r="IM801" s="683" t="str">
        <f t="shared" si="228"/>
        <v/>
      </c>
      <c r="IN801" s="683" t="str">
        <f t="shared" si="229"/>
        <v/>
      </c>
      <c r="IO801" s="683" t="str">
        <f t="shared" si="230"/>
        <v/>
      </c>
      <c r="IP801" s="683" t="str">
        <f t="shared" si="231"/>
        <v/>
      </c>
      <c r="IQ801" s="683" t="str">
        <f t="shared" si="232"/>
        <v/>
      </c>
      <c r="IR801" s="683" t="str">
        <f t="shared" si="233"/>
        <v/>
      </c>
      <c r="IS801" s="683" t="str">
        <f t="shared" si="234"/>
        <v/>
      </c>
      <c r="IT801" s="683" t="str">
        <f t="shared" si="235"/>
        <v/>
      </c>
      <c r="IU801" s="683" t="str">
        <f t="shared" si="236"/>
        <v/>
      </c>
      <c r="IV801" s="683" t="str">
        <f t="shared" si="237"/>
        <v/>
      </c>
      <c r="IW801" s="683" t="str">
        <f t="shared" si="238"/>
        <v/>
      </c>
      <c r="IX801" s="683" t="str">
        <f t="shared" si="239"/>
        <v/>
      </c>
      <c r="IY801" s="683" t="str">
        <f t="shared" si="240"/>
        <v/>
      </c>
      <c r="IZ801" s="683" t="str">
        <f t="shared" si="241"/>
        <v/>
      </c>
      <c r="JA801" s="683" t="str">
        <f t="shared" si="242"/>
        <v/>
      </c>
      <c r="JB801" s="683" t="str">
        <f t="shared" si="243"/>
        <v/>
      </c>
      <c r="JC801" s="1824">
        <f t="shared" si="244"/>
        <v>0</v>
      </c>
      <c r="JD801" s="1824">
        <f t="shared" si="245"/>
        <v>0</v>
      </c>
      <c r="JE801" s="1824">
        <f t="shared" si="246"/>
        <v>0</v>
      </c>
      <c r="JF801" s="1824">
        <f t="shared" si="247"/>
        <v>0</v>
      </c>
      <c r="JG801" s="1824">
        <f t="shared" si="248"/>
        <v>0</v>
      </c>
      <c r="JH801" s="1824">
        <f t="shared" si="249"/>
        <v>0</v>
      </c>
      <c r="JI801" s="1824">
        <f t="shared" si="250"/>
        <v>0</v>
      </c>
      <c r="JJ801" s="1824">
        <f t="shared" si="251"/>
        <v>0</v>
      </c>
      <c r="JK801" s="1824">
        <f t="shared" si="252"/>
        <v>0</v>
      </c>
      <c r="JL801" s="1824">
        <f t="shared" si="253"/>
        <v>0</v>
      </c>
      <c r="JM801" s="1824">
        <f t="shared" si="254"/>
        <v>0</v>
      </c>
      <c r="JN801" s="1824">
        <f t="shared" si="255"/>
        <v>0</v>
      </c>
      <c r="JO801" s="1824">
        <f t="shared" si="256"/>
        <v>0</v>
      </c>
      <c r="JP801" s="1824">
        <f t="shared" si="257"/>
        <v>0</v>
      </c>
      <c r="JQ801" s="1824">
        <f t="shared" si="258"/>
        <v>0</v>
      </c>
    </row>
    <row r="802" spans="1:278" ht="12" customHeight="1">
      <c r="A802" s="1837" t="str">
        <f t="shared" si="1"/>
        <v/>
      </c>
      <c r="B802" s="1846" t="str">
        <f>'Part VI-Revenues &amp; Expenses'!B45</f>
        <v>&lt;&lt;Select&gt;&gt;</v>
      </c>
      <c r="C802" s="1847">
        <f>'Part VI-Revenues &amp; Expenses'!C45</f>
        <v>0</v>
      </c>
      <c r="D802" s="1848">
        <f>'Part VI-Revenues &amp; Expenses'!D45</f>
        <v>0</v>
      </c>
      <c r="E802" s="1849">
        <f>'Part VI-Revenues &amp; Expenses'!E45</f>
        <v>0</v>
      </c>
      <c r="F802" s="1849">
        <f>'Part VI-Revenues &amp; Expenses'!F45</f>
        <v>0</v>
      </c>
      <c r="G802" s="1849">
        <f>'Part VI-Revenues &amp; Expenses'!G45</f>
        <v>0</v>
      </c>
      <c r="H802" s="1849">
        <f>'Part VI-Revenues &amp; Expenses'!H45</f>
        <v>0</v>
      </c>
      <c r="I802" s="1849">
        <f>'Part VI-Revenues &amp; Expenses'!I45</f>
        <v>0</v>
      </c>
      <c r="J802" s="1850">
        <f>'Part VI-Revenues &amp; Expenses'!J45</f>
        <v>0</v>
      </c>
      <c r="K802" s="1851">
        <f t="shared" si="2"/>
        <v>0</v>
      </c>
      <c r="L802" s="1851">
        <f t="shared" si="3"/>
        <v>0</v>
      </c>
      <c r="M802" s="1725">
        <f>'Part VI-Revenues &amp; Expenses'!M45</f>
        <v>0</v>
      </c>
      <c r="N802" s="1725">
        <f>'Part VI-Revenues &amp; Expenses'!N45</f>
        <v>0</v>
      </c>
      <c r="O802" s="1725">
        <f>'Part VI-Revenues &amp; Expenses'!O45</f>
        <v>0</v>
      </c>
      <c r="P802" s="1831">
        <f>'Part VI-Revenues &amp; Expenses'!P45</f>
        <v>0</v>
      </c>
      <c r="Q802" s="1852" t="str">
        <f>'Part VI-Revenues &amp; Expenses'!Q45</f>
        <v/>
      </c>
      <c r="R802" s="1853" t="str">
        <f>'Part VI-Revenues &amp; Expenses'!R45</f>
        <v/>
      </c>
      <c r="S802" s="1852">
        <f>'Part VI-Revenues &amp; Expenses'!S45</f>
        <v>0</v>
      </c>
      <c r="T802" s="1853">
        <f>'Part VI-Revenues &amp; Expenses'!T45</f>
        <v>0</v>
      </c>
      <c r="U802" s="1775"/>
      <c r="V802" s="1775"/>
      <c r="W802" s="683" t="str">
        <f t="shared" si="4"/>
        <v/>
      </c>
      <c r="X802" s="683" t="str">
        <f t="shared" si="5"/>
        <v/>
      </c>
      <c r="Y802" s="683" t="str">
        <f t="shared" si="6"/>
        <v/>
      </c>
      <c r="Z802" s="683" t="str">
        <f t="shared" si="7"/>
        <v/>
      </c>
      <c r="AA802" s="683" t="str">
        <f t="shared" si="8"/>
        <v/>
      </c>
      <c r="AB802" s="683" t="str">
        <f t="shared" si="9"/>
        <v/>
      </c>
      <c r="AC802" s="683" t="str">
        <f t="shared" si="10"/>
        <v/>
      </c>
      <c r="AD802" s="683" t="str">
        <f t="shared" si="11"/>
        <v/>
      </c>
      <c r="AE802" s="683" t="str">
        <f t="shared" si="12"/>
        <v/>
      </c>
      <c r="AF802" s="683" t="str">
        <f t="shared" si="13"/>
        <v/>
      </c>
      <c r="AG802" s="683" t="str">
        <f t="shared" si="14"/>
        <v/>
      </c>
      <c r="AH802" s="683" t="str">
        <f t="shared" si="15"/>
        <v/>
      </c>
      <c r="AI802" s="683" t="str">
        <f t="shared" si="16"/>
        <v/>
      </c>
      <c r="AJ802" s="683" t="str">
        <f t="shared" si="17"/>
        <v/>
      </c>
      <c r="AK802" s="683" t="str">
        <f t="shared" si="18"/>
        <v/>
      </c>
      <c r="AL802" s="683" t="str">
        <f t="shared" si="19"/>
        <v/>
      </c>
      <c r="AM802" s="683" t="str">
        <f t="shared" si="20"/>
        <v/>
      </c>
      <c r="AN802" s="683" t="str">
        <f t="shared" si="21"/>
        <v/>
      </c>
      <c r="AO802" s="683" t="str">
        <f t="shared" si="22"/>
        <v/>
      </c>
      <c r="AP802" s="683" t="str">
        <f t="shared" si="23"/>
        <v/>
      </c>
      <c r="AQ802" s="683" t="str">
        <f t="shared" si="24"/>
        <v/>
      </c>
      <c r="AR802" s="683" t="str">
        <f t="shared" si="25"/>
        <v/>
      </c>
      <c r="AS802" s="683" t="str">
        <f t="shared" si="26"/>
        <v/>
      </c>
      <c r="AT802" s="683" t="str">
        <f t="shared" si="27"/>
        <v/>
      </c>
      <c r="AU802" s="683" t="str">
        <f t="shared" si="28"/>
        <v/>
      </c>
      <c r="AV802" s="683" t="str">
        <f t="shared" si="29"/>
        <v/>
      </c>
      <c r="AW802" s="683" t="str">
        <f t="shared" si="30"/>
        <v/>
      </c>
      <c r="AX802" s="683" t="str">
        <f t="shared" si="31"/>
        <v/>
      </c>
      <c r="AY802" s="683" t="str">
        <f t="shared" si="32"/>
        <v/>
      </c>
      <c r="AZ802" s="683" t="str">
        <f t="shared" si="33"/>
        <v/>
      </c>
      <c r="BA802" s="683" t="str">
        <f t="shared" si="34"/>
        <v/>
      </c>
      <c r="BB802" s="683" t="str">
        <f t="shared" si="35"/>
        <v/>
      </c>
      <c r="BC802" s="683" t="str">
        <f t="shared" si="36"/>
        <v/>
      </c>
      <c r="BD802" s="683" t="str">
        <f t="shared" si="37"/>
        <v/>
      </c>
      <c r="BE802" s="683" t="str">
        <f t="shared" si="38"/>
        <v/>
      </c>
      <c r="BF802" s="683" t="str">
        <f t="shared" si="39"/>
        <v/>
      </c>
      <c r="BG802" s="683" t="str">
        <f t="shared" si="40"/>
        <v/>
      </c>
      <c r="BH802" s="683" t="str">
        <f t="shared" si="41"/>
        <v/>
      </c>
      <c r="BI802" s="683" t="str">
        <f t="shared" si="42"/>
        <v/>
      </c>
      <c r="BJ802" s="683" t="str">
        <f t="shared" si="43"/>
        <v/>
      </c>
      <c r="BK802" s="683" t="str">
        <f t="shared" si="44"/>
        <v/>
      </c>
      <c r="BL802" s="683" t="str">
        <f t="shared" si="45"/>
        <v/>
      </c>
      <c r="BM802" s="683" t="str">
        <f t="shared" si="46"/>
        <v/>
      </c>
      <c r="BN802" s="683" t="str">
        <f t="shared" si="47"/>
        <v/>
      </c>
      <c r="BO802" s="683" t="str">
        <f t="shared" si="48"/>
        <v/>
      </c>
      <c r="BP802" s="683" t="str">
        <f t="shared" si="49"/>
        <v/>
      </c>
      <c r="BQ802" s="683" t="str">
        <f t="shared" si="50"/>
        <v/>
      </c>
      <c r="BR802" s="683" t="str">
        <f t="shared" si="51"/>
        <v/>
      </c>
      <c r="BS802" s="683" t="str">
        <f t="shared" si="52"/>
        <v/>
      </c>
      <c r="BT802" s="683" t="str">
        <f t="shared" si="53"/>
        <v/>
      </c>
      <c r="BU802" s="683" t="str">
        <f t="shared" si="54"/>
        <v/>
      </c>
      <c r="BV802" s="683" t="str">
        <f t="shared" si="55"/>
        <v/>
      </c>
      <c r="BW802" s="683" t="str">
        <f t="shared" si="56"/>
        <v/>
      </c>
      <c r="BX802" s="683" t="str">
        <f t="shared" si="57"/>
        <v/>
      </c>
      <c r="BY802" s="683" t="str">
        <f t="shared" si="58"/>
        <v/>
      </c>
      <c r="BZ802" s="683" t="str">
        <f t="shared" si="59"/>
        <v/>
      </c>
      <c r="CA802" s="683" t="str">
        <f t="shared" si="60"/>
        <v/>
      </c>
      <c r="CB802" s="683" t="str">
        <f t="shared" si="61"/>
        <v/>
      </c>
      <c r="CC802" s="683" t="str">
        <f t="shared" si="62"/>
        <v/>
      </c>
      <c r="CD802" s="683" t="str">
        <f t="shared" si="63"/>
        <v/>
      </c>
      <c r="CE802" s="683" t="str">
        <f t="shared" si="64"/>
        <v/>
      </c>
      <c r="CF802" s="683" t="str">
        <f t="shared" si="65"/>
        <v/>
      </c>
      <c r="CG802" s="683" t="str">
        <f t="shared" si="66"/>
        <v/>
      </c>
      <c r="CH802" s="683" t="str">
        <f t="shared" si="67"/>
        <v/>
      </c>
      <c r="CI802" s="683" t="str">
        <f t="shared" si="68"/>
        <v/>
      </c>
      <c r="CJ802" s="683" t="str">
        <f t="shared" si="69"/>
        <v/>
      </c>
      <c r="CK802" s="683" t="str">
        <f t="shared" si="70"/>
        <v/>
      </c>
      <c r="CL802" s="683" t="str">
        <f t="shared" si="71"/>
        <v/>
      </c>
      <c r="CM802" s="683" t="str">
        <f t="shared" si="72"/>
        <v/>
      </c>
      <c r="CN802" s="683" t="str">
        <f t="shared" si="73"/>
        <v/>
      </c>
      <c r="CO802" s="683" t="str">
        <f t="shared" si="74"/>
        <v/>
      </c>
      <c r="CP802" s="683" t="str">
        <f t="shared" si="75"/>
        <v/>
      </c>
      <c r="CQ802" s="683" t="str">
        <f t="shared" si="76"/>
        <v/>
      </c>
      <c r="CR802" s="683" t="str">
        <f t="shared" si="77"/>
        <v/>
      </c>
      <c r="CS802" s="683" t="str">
        <f t="shared" si="78"/>
        <v/>
      </c>
      <c r="CT802" s="683" t="str">
        <f t="shared" si="79"/>
        <v/>
      </c>
      <c r="CU802" s="683" t="str">
        <f t="shared" si="80"/>
        <v/>
      </c>
      <c r="CV802" s="683" t="str">
        <f t="shared" si="81"/>
        <v/>
      </c>
      <c r="CW802" s="683" t="str">
        <f t="shared" si="82"/>
        <v/>
      </c>
      <c r="CX802" s="683" t="str">
        <f t="shared" si="83"/>
        <v/>
      </c>
      <c r="CY802" s="683" t="str">
        <f t="shared" si="84"/>
        <v/>
      </c>
      <c r="CZ802" s="683" t="str">
        <f t="shared" si="85"/>
        <v/>
      </c>
      <c r="DA802" s="683" t="str">
        <f t="shared" si="86"/>
        <v/>
      </c>
      <c r="DB802" s="683" t="str">
        <f t="shared" si="87"/>
        <v/>
      </c>
      <c r="DC802" s="683" t="str">
        <f t="shared" si="88"/>
        <v/>
      </c>
      <c r="DD802" s="683" t="str">
        <f t="shared" si="89"/>
        <v/>
      </c>
      <c r="DE802" s="683" t="str">
        <f t="shared" si="90"/>
        <v/>
      </c>
      <c r="DF802" s="683" t="str">
        <f t="shared" si="91"/>
        <v/>
      </c>
      <c r="DG802" s="683" t="str">
        <f t="shared" si="92"/>
        <v/>
      </c>
      <c r="DH802" s="683" t="str">
        <f t="shared" si="93"/>
        <v/>
      </c>
      <c r="DI802" s="683" t="str">
        <f t="shared" si="94"/>
        <v/>
      </c>
      <c r="DJ802" s="683" t="str">
        <f t="shared" si="95"/>
        <v/>
      </c>
      <c r="DK802" s="683" t="str">
        <f t="shared" si="96"/>
        <v/>
      </c>
      <c r="DL802" s="683" t="str">
        <f t="shared" si="97"/>
        <v/>
      </c>
      <c r="DM802" s="683" t="str">
        <f t="shared" si="98"/>
        <v/>
      </c>
      <c r="DN802" s="683" t="str">
        <f t="shared" si="99"/>
        <v/>
      </c>
      <c r="DO802" s="683" t="str">
        <f t="shared" si="100"/>
        <v/>
      </c>
      <c r="DP802" s="683" t="str">
        <f t="shared" si="101"/>
        <v/>
      </c>
      <c r="DQ802" s="683" t="str">
        <f t="shared" si="102"/>
        <v/>
      </c>
      <c r="DR802" s="683" t="str">
        <f t="shared" si="103"/>
        <v/>
      </c>
      <c r="DS802" s="683" t="str">
        <f t="shared" si="104"/>
        <v/>
      </c>
      <c r="DT802" s="683" t="str">
        <f t="shared" si="105"/>
        <v/>
      </c>
      <c r="DU802" s="683" t="str">
        <f t="shared" si="106"/>
        <v/>
      </c>
      <c r="DV802" s="683" t="str">
        <f t="shared" si="107"/>
        <v/>
      </c>
      <c r="DW802" s="683" t="str">
        <f t="shared" si="108"/>
        <v/>
      </c>
      <c r="DX802" s="683" t="str">
        <f t="shared" si="109"/>
        <v/>
      </c>
      <c r="DY802" s="683" t="str">
        <f t="shared" si="110"/>
        <v/>
      </c>
      <c r="DZ802" s="683" t="str">
        <f t="shared" si="111"/>
        <v/>
      </c>
      <c r="EA802" s="683" t="str">
        <f t="shared" si="112"/>
        <v/>
      </c>
      <c r="EB802" s="683" t="str">
        <f t="shared" si="113"/>
        <v/>
      </c>
      <c r="EC802" s="683" t="str">
        <f t="shared" si="114"/>
        <v/>
      </c>
      <c r="ED802" s="683" t="str">
        <f t="shared" si="115"/>
        <v/>
      </c>
      <c r="EE802" s="683" t="str">
        <f t="shared" si="116"/>
        <v/>
      </c>
      <c r="EF802" s="683" t="str">
        <f t="shared" si="117"/>
        <v/>
      </c>
      <c r="EG802" s="683" t="str">
        <f t="shared" si="118"/>
        <v/>
      </c>
      <c r="EH802" s="683" t="str">
        <f t="shared" si="119"/>
        <v/>
      </c>
      <c r="EI802" s="683" t="str">
        <f t="shared" si="120"/>
        <v/>
      </c>
      <c r="EJ802" s="683" t="str">
        <f t="shared" si="121"/>
        <v/>
      </c>
      <c r="EK802" s="683" t="str">
        <f t="shared" si="122"/>
        <v/>
      </c>
      <c r="EL802" s="683" t="str">
        <f t="shared" si="123"/>
        <v/>
      </c>
      <c r="EM802" s="683" t="str">
        <f t="shared" si="124"/>
        <v/>
      </c>
      <c r="EN802" s="683" t="str">
        <f t="shared" si="125"/>
        <v/>
      </c>
      <c r="EO802" s="683" t="str">
        <f t="shared" si="126"/>
        <v/>
      </c>
      <c r="EP802" s="683" t="str">
        <f t="shared" si="127"/>
        <v/>
      </c>
      <c r="EQ802" s="683" t="str">
        <f t="shared" si="128"/>
        <v/>
      </c>
      <c r="ER802" s="683" t="str">
        <f t="shared" si="129"/>
        <v/>
      </c>
      <c r="ES802" s="683" t="str">
        <f t="shared" si="130"/>
        <v/>
      </c>
      <c r="ET802" s="683" t="str">
        <f t="shared" si="131"/>
        <v/>
      </c>
      <c r="EU802" s="683" t="str">
        <f t="shared" si="132"/>
        <v/>
      </c>
      <c r="EV802" s="683" t="str">
        <f t="shared" si="133"/>
        <v/>
      </c>
      <c r="EW802" s="1854" t="str">
        <f t="shared" si="134"/>
        <v/>
      </c>
      <c r="EX802" s="1854" t="str">
        <f t="shared" si="135"/>
        <v/>
      </c>
      <c r="EY802" s="1854" t="str">
        <f t="shared" si="136"/>
        <v/>
      </c>
      <c r="EZ802" s="1854" t="str">
        <f t="shared" si="137"/>
        <v/>
      </c>
      <c r="FA802" s="1854" t="str">
        <f t="shared" si="138"/>
        <v/>
      </c>
      <c r="FB802" s="1854" t="str">
        <f t="shared" si="139"/>
        <v/>
      </c>
      <c r="FC802" s="1854" t="str">
        <f t="shared" si="140"/>
        <v/>
      </c>
      <c r="FD802" s="1854" t="str">
        <f t="shared" si="141"/>
        <v/>
      </c>
      <c r="FE802" s="1854" t="str">
        <f t="shared" si="142"/>
        <v/>
      </c>
      <c r="FF802" s="1854" t="str">
        <f t="shared" si="143"/>
        <v/>
      </c>
      <c r="FG802" s="1854" t="str">
        <f t="shared" si="144"/>
        <v/>
      </c>
      <c r="FH802" s="1854" t="str">
        <f t="shared" si="145"/>
        <v/>
      </c>
      <c r="FI802" s="1854" t="str">
        <f t="shared" si="146"/>
        <v/>
      </c>
      <c r="FJ802" s="1854" t="str">
        <f t="shared" si="147"/>
        <v/>
      </c>
      <c r="FK802" s="1854" t="str">
        <f t="shared" si="148"/>
        <v/>
      </c>
      <c r="FL802" s="1854" t="str">
        <f t="shared" si="149"/>
        <v/>
      </c>
      <c r="FM802" s="1854" t="str">
        <f t="shared" si="150"/>
        <v/>
      </c>
      <c r="FN802" s="1854" t="str">
        <f t="shared" si="151"/>
        <v/>
      </c>
      <c r="FO802" s="1854" t="str">
        <f t="shared" si="152"/>
        <v/>
      </c>
      <c r="FP802" s="1854" t="str">
        <f t="shared" si="153"/>
        <v/>
      </c>
      <c r="FQ802" s="1854" t="str">
        <f t="shared" si="154"/>
        <v/>
      </c>
      <c r="FR802" s="1854" t="str">
        <f t="shared" si="155"/>
        <v/>
      </c>
      <c r="FS802" s="1854" t="str">
        <f t="shared" si="156"/>
        <v/>
      </c>
      <c r="FT802" s="1854" t="str">
        <f t="shared" si="157"/>
        <v/>
      </c>
      <c r="FU802" s="1854" t="str">
        <f t="shared" si="158"/>
        <v/>
      </c>
      <c r="FV802" s="1854" t="str">
        <f t="shared" si="159"/>
        <v/>
      </c>
      <c r="FW802" s="1854" t="str">
        <f t="shared" si="160"/>
        <v/>
      </c>
      <c r="FX802" s="1854" t="str">
        <f t="shared" si="161"/>
        <v/>
      </c>
      <c r="FY802" s="1854" t="str">
        <f t="shared" si="162"/>
        <v/>
      </c>
      <c r="FZ802" s="1854" t="str">
        <f t="shared" si="163"/>
        <v/>
      </c>
      <c r="GA802" s="1854" t="str">
        <f t="shared" si="164"/>
        <v/>
      </c>
      <c r="GB802" s="1854" t="str">
        <f t="shared" si="165"/>
        <v/>
      </c>
      <c r="GC802" s="1854" t="str">
        <f t="shared" si="166"/>
        <v/>
      </c>
      <c r="GD802" s="1854" t="str">
        <f t="shared" si="167"/>
        <v/>
      </c>
      <c r="GE802" s="1854" t="str">
        <f t="shared" si="168"/>
        <v/>
      </c>
      <c r="GF802" s="1854" t="str">
        <f t="shared" si="169"/>
        <v/>
      </c>
      <c r="GG802" s="1854" t="str">
        <f t="shared" si="170"/>
        <v/>
      </c>
      <c r="GH802" s="1854" t="str">
        <f t="shared" si="171"/>
        <v/>
      </c>
      <c r="GI802" s="1854" t="str">
        <f t="shared" si="172"/>
        <v/>
      </c>
      <c r="GJ802" s="1854" t="str">
        <f t="shared" si="173"/>
        <v/>
      </c>
      <c r="GK802" s="1854" t="str">
        <f t="shared" si="174"/>
        <v/>
      </c>
      <c r="GL802" s="1854" t="str">
        <f t="shared" si="175"/>
        <v/>
      </c>
      <c r="GM802" s="1854" t="str">
        <f t="shared" si="176"/>
        <v/>
      </c>
      <c r="GN802" s="1854" t="str">
        <f t="shared" si="177"/>
        <v/>
      </c>
      <c r="GO802" s="1854" t="str">
        <f t="shared" si="178"/>
        <v/>
      </c>
      <c r="GP802" s="1854" t="str">
        <f t="shared" si="179"/>
        <v/>
      </c>
      <c r="GQ802" s="1854" t="str">
        <f t="shared" si="180"/>
        <v/>
      </c>
      <c r="GR802" s="1854" t="str">
        <f t="shared" si="181"/>
        <v/>
      </c>
      <c r="GS802" s="1854" t="str">
        <f t="shared" si="182"/>
        <v/>
      </c>
      <c r="GT802" s="1854" t="str">
        <f t="shared" si="183"/>
        <v/>
      </c>
      <c r="GU802" s="1854" t="str">
        <f t="shared" si="184"/>
        <v/>
      </c>
      <c r="GV802" s="1854" t="str">
        <f t="shared" si="185"/>
        <v/>
      </c>
      <c r="GW802" s="1854" t="str">
        <f t="shared" si="186"/>
        <v/>
      </c>
      <c r="GX802" s="1854" t="str">
        <f t="shared" si="187"/>
        <v/>
      </c>
      <c r="GY802" s="1854" t="str">
        <f t="shared" si="188"/>
        <v/>
      </c>
      <c r="GZ802" s="1854" t="str">
        <f t="shared" si="189"/>
        <v/>
      </c>
      <c r="HA802" s="1854" t="str">
        <f t="shared" si="190"/>
        <v/>
      </c>
      <c r="HB802" s="1854" t="str">
        <f t="shared" si="191"/>
        <v/>
      </c>
      <c r="HC802" s="1854" t="str">
        <f t="shared" si="192"/>
        <v/>
      </c>
      <c r="HD802" s="1854" t="str">
        <f t="shared" si="193"/>
        <v/>
      </c>
      <c r="HE802" s="1854" t="str">
        <f t="shared" si="194"/>
        <v/>
      </c>
      <c r="HF802" s="1854" t="str">
        <f t="shared" si="195"/>
        <v/>
      </c>
      <c r="HG802" s="1854" t="str">
        <f t="shared" si="196"/>
        <v/>
      </c>
      <c r="HH802" s="1854" t="str">
        <f t="shared" si="197"/>
        <v/>
      </c>
      <c r="HI802" s="1854" t="str">
        <f t="shared" si="198"/>
        <v/>
      </c>
      <c r="HJ802" s="1854" t="str">
        <f t="shared" si="199"/>
        <v/>
      </c>
      <c r="HK802" s="1854" t="str">
        <f t="shared" si="200"/>
        <v/>
      </c>
      <c r="HL802" s="1854" t="str">
        <f t="shared" si="201"/>
        <v/>
      </c>
      <c r="HM802" s="1854" t="str">
        <f t="shared" si="202"/>
        <v/>
      </c>
      <c r="HN802" s="1854" t="str">
        <f t="shared" si="203"/>
        <v/>
      </c>
      <c r="HO802" s="1854" t="str">
        <f t="shared" si="204"/>
        <v/>
      </c>
      <c r="HP802" s="1854" t="str">
        <f t="shared" si="205"/>
        <v/>
      </c>
      <c r="HQ802" s="1854" t="str">
        <f t="shared" si="206"/>
        <v/>
      </c>
      <c r="HR802" s="1854" t="str">
        <f t="shared" si="207"/>
        <v/>
      </c>
      <c r="HS802" s="1854" t="str">
        <f t="shared" si="208"/>
        <v/>
      </c>
      <c r="HT802" s="1854" t="str">
        <f t="shared" si="209"/>
        <v/>
      </c>
      <c r="HU802" s="1854" t="str">
        <f t="shared" si="210"/>
        <v/>
      </c>
      <c r="HV802" s="1854" t="str">
        <f t="shared" si="211"/>
        <v/>
      </c>
      <c r="HW802" s="1854" t="str">
        <f t="shared" si="212"/>
        <v/>
      </c>
      <c r="HX802" s="1854" t="str">
        <f t="shared" si="213"/>
        <v/>
      </c>
      <c r="HY802" s="1854" t="str">
        <f t="shared" si="214"/>
        <v/>
      </c>
      <c r="HZ802" s="1854" t="str">
        <f t="shared" si="215"/>
        <v/>
      </c>
      <c r="IA802" s="1854" t="str">
        <f t="shared" si="216"/>
        <v/>
      </c>
      <c r="IB802" s="1854" t="str">
        <f t="shared" si="217"/>
        <v/>
      </c>
      <c r="IC802" s="1854" t="str">
        <f t="shared" si="218"/>
        <v/>
      </c>
      <c r="ID802" s="1826" t="str">
        <f t="shared" si="219"/>
        <v/>
      </c>
      <c r="IE802" s="1826" t="str">
        <f t="shared" si="220"/>
        <v/>
      </c>
      <c r="IF802" s="1826" t="str">
        <f t="shared" si="221"/>
        <v/>
      </c>
      <c r="IG802" s="1826" t="str">
        <f t="shared" si="222"/>
        <v/>
      </c>
      <c r="IH802" s="1826" t="str">
        <f t="shared" si="223"/>
        <v/>
      </c>
      <c r="II802" s="683" t="str">
        <f t="shared" si="224"/>
        <v/>
      </c>
      <c r="IJ802" s="683" t="str">
        <f t="shared" si="225"/>
        <v/>
      </c>
      <c r="IK802" s="683" t="str">
        <f t="shared" si="226"/>
        <v/>
      </c>
      <c r="IL802" s="683" t="str">
        <f t="shared" si="227"/>
        <v/>
      </c>
      <c r="IM802" s="683" t="str">
        <f t="shared" si="228"/>
        <v/>
      </c>
      <c r="IN802" s="683" t="str">
        <f t="shared" si="229"/>
        <v/>
      </c>
      <c r="IO802" s="683" t="str">
        <f t="shared" si="230"/>
        <v/>
      </c>
      <c r="IP802" s="683" t="str">
        <f t="shared" si="231"/>
        <v/>
      </c>
      <c r="IQ802" s="683" t="str">
        <f t="shared" si="232"/>
        <v/>
      </c>
      <c r="IR802" s="683" t="str">
        <f t="shared" si="233"/>
        <v/>
      </c>
      <c r="IS802" s="683" t="str">
        <f t="shared" si="234"/>
        <v/>
      </c>
      <c r="IT802" s="683" t="str">
        <f t="shared" si="235"/>
        <v/>
      </c>
      <c r="IU802" s="683" t="str">
        <f t="shared" si="236"/>
        <v/>
      </c>
      <c r="IV802" s="683" t="str">
        <f t="shared" si="237"/>
        <v/>
      </c>
      <c r="IW802" s="683" t="str">
        <f t="shared" si="238"/>
        <v/>
      </c>
      <c r="IX802" s="683" t="str">
        <f t="shared" si="239"/>
        <v/>
      </c>
      <c r="IY802" s="683" t="str">
        <f t="shared" si="240"/>
        <v/>
      </c>
      <c r="IZ802" s="683" t="str">
        <f t="shared" si="241"/>
        <v/>
      </c>
      <c r="JA802" s="683" t="str">
        <f t="shared" si="242"/>
        <v/>
      </c>
      <c r="JB802" s="683" t="str">
        <f t="shared" si="243"/>
        <v/>
      </c>
      <c r="JC802" s="1824">
        <f t="shared" si="244"/>
        <v>0</v>
      </c>
      <c r="JD802" s="1824">
        <f t="shared" si="245"/>
        <v>0</v>
      </c>
      <c r="JE802" s="1824">
        <f t="shared" si="246"/>
        <v>0</v>
      </c>
      <c r="JF802" s="1824">
        <f t="shared" si="247"/>
        <v>0</v>
      </c>
      <c r="JG802" s="1824">
        <f t="shared" si="248"/>
        <v>0</v>
      </c>
      <c r="JH802" s="1824">
        <f t="shared" si="249"/>
        <v>0</v>
      </c>
      <c r="JI802" s="1824">
        <f t="shared" si="250"/>
        <v>0</v>
      </c>
      <c r="JJ802" s="1824">
        <f t="shared" si="251"/>
        <v>0</v>
      </c>
      <c r="JK802" s="1824">
        <f t="shared" si="252"/>
        <v>0</v>
      </c>
      <c r="JL802" s="1824">
        <f t="shared" si="253"/>
        <v>0</v>
      </c>
      <c r="JM802" s="1824">
        <f t="shared" si="254"/>
        <v>0</v>
      </c>
      <c r="JN802" s="1824">
        <f t="shared" si="255"/>
        <v>0</v>
      </c>
      <c r="JO802" s="1824">
        <f t="shared" si="256"/>
        <v>0</v>
      </c>
      <c r="JP802" s="1824">
        <f t="shared" si="257"/>
        <v>0</v>
      </c>
      <c r="JQ802" s="1824">
        <f t="shared" si="258"/>
        <v>0</v>
      </c>
    </row>
    <row r="803" spans="1:278" ht="12" customHeight="1">
      <c r="A803" s="1837" t="str">
        <f t="shared" si="1"/>
        <v/>
      </c>
      <c r="B803" s="1846" t="str">
        <f>'Part VI-Revenues &amp; Expenses'!B46</f>
        <v>&lt;&lt;Select&gt;&gt;</v>
      </c>
      <c r="C803" s="1847">
        <f>'Part VI-Revenues &amp; Expenses'!C46</f>
        <v>0</v>
      </c>
      <c r="D803" s="1848">
        <f>'Part VI-Revenues &amp; Expenses'!D46</f>
        <v>0</v>
      </c>
      <c r="E803" s="1849">
        <f>'Part VI-Revenues &amp; Expenses'!E46</f>
        <v>0</v>
      </c>
      <c r="F803" s="1849">
        <f>'Part VI-Revenues &amp; Expenses'!F46</f>
        <v>0</v>
      </c>
      <c r="G803" s="1849">
        <f>'Part VI-Revenues &amp; Expenses'!G46</f>
        <v>0</v>
      </c>
      <c r="H803" s="1849">
        <f>'Part VI-Revenues &amp; Expenses'!H46</f>
        <v>0</v>
      </c>
      <c r="I803" s="1849">
        <f>'Part VI-Revenues &amp; Expenses'!I46</f>
        <v>0</v>
      </c>
      <c r="J803" s="1850">
        <f>'Part VI-Revenues &amp; Expenses'!J46</f>
        <v>0</v>
      </c>
      <c r="K803" s="1851">
        <f t="shared" si="2"/>
        <v>0</v>
      </c>
      <c r="L803" s="1851">
        <f t="shared" si="3"/>
        <v>0</v>
      </c>
      <c r="M803" s="1725">
        <f>'Part VI-Revenues &amp; Expenses'!M46</f>
        <v>0</v>
      </c>
      <c r="N803" s="1725">
        <f>'Part VI-Revenues &amp; Expenses'!N46</f>
        <v>0</v>
      </c>
      <c r="O803" s="1725">
        <f>'Part VI-Revenues &amp; Expenses'!O46</f>
        <v>0</v>
      </c>
      <c r="P803" s="1831">
        <f>'Part VI-Revenues &amp; Expenses'!P46</f>
        <v>0</v>
      </c>
      <c r="Q803" s="1852" t="str">
        <f>'Part VI-Revenues &amp; Expenses'!Q46</f>
        <v/>
      </c>
      <c r="R803" s="1853" t="str">
        <f>'Part VI-Revenues &amp; Expenses'!R46</f>
        <v/>
      </c>
      <c r="S803" s="1852">
        <f>'Part VI-Revenues &amp; Expenses'!S46</f>
        <v>0</v>
      </c>
      <c r="T803" s="1853">
        <f>'Part VI-Revenues &amp; Expenses'!T46</f>
        <v>0</v>
      </c>
      <c r="U803" s="1775"/>
      <c r="V803" s="1775"/>
      <c r="W803" s="683" t="str">
        <f t="shared" si="4"/>
        <v/>
      </c>
      <c r="X803" s="683" t="str">
        <f t="shared" si="5"/>
        <v/>
      </c>
      <c r="Y803" s="683" t="str">
        <f t="shared" si="6"/>
        <v/>
      </c>
      <c r="Z803" s="683" t="str">
        <f t="shared" si="7"/>
        <v/>
      </c>
      <c r="AA803" s="683" t="str">
        <f t="shared" si="8"/>
        <v/>
      </c>
      <c r="AB803" s="683" t="str">
        <f t="shared" si="9"/>
        <v/>
      </c>
      <c r="AC803" s="683" t="str">
        <f t="shared" si="10"/>
        <v/>
      </c>
      <c r="AD803" s="683" t="str">
        <f t="shared" si="11"/>
        <v/>
      </c>
      <c r="AE803" s="683" t="str">
        <f t="shared" si="12"/>
        <v/>
      </c>
      <c r="AF803" s="683" t="str">
        <f t="shared" si="13"/>
        <v/>
      </c>
      <c r="AG803" s="683" t="str">
        <f t="shared" si="14"/>
        <v/>
      </c>
      <c r="AH803" s="683" t="str">
        <f t="shared" si="15"/>
        <v/>
      </c>
      <c r="AI803" s="683" t="str">
        <f t="shared" si="16"/>
        <v/>
      </c>
      <c r="AJ803" s="683" t="str">
        <f t="shared" si="17"/>
        <v/>
      </c>
      <c r="AK803" s="683" t="str">
        <f t="shared" si="18"/>
        <v/>
      </c>
      <c r="AL803" s="683" t="str">
        <f t="shared" si="19"/>
        <v/>
      </c>
      <c r="AM803" s="683" t="str">
        <f t="shared" si="20"/>
        <v/>
      </c>
      <c r="AN803" s="683" t="str">
        <f t="shared" si="21"/>
        <v/>
      </c>
      <c r="AO803" s="683" t="str">
        <f t="shared" si="22"/>
        <v/>
      </c>
      <c r="AP803" s="683" t="str">
        <f t="shared" si="23"/>
        <v/>
      </c>
      <c r="AQ803" s="683" t="str">
        <f t="shared" si="24"/>
        <v/>
      </c>
      <c r="AR803" s="683" t="str">
        <f t="shared" si="25"/>
        <v/>
      </c>
      <c r="AS803" s="683" t="str">
        <f t="shared" si="26"/>
        <v/>
      </c>
      <c r="AT803" s="683" t="str">
        <f t="shared" si="27"/>
        <v/>
      </c>
      <c r="AU803" s="683" t="str">
        <f t="shared" si="28"/>
        <v/>
      </c>
      <c r="AV803" s="683" t="str">
        <f t="shared" si="29"/>
        <v/>
      </c>
      <c r="AW803" s="683" t="str">
        <f t="shared" si="30"/>
        <v/>
      </c>
      <c r="AX803" s="683" t="str">
        <f t="shared" si="31"/>
        <v/>
      </c>
      <c r="AY803" s="683" t="str">
        <f t="shared" si="32"/>
        <v/>
      </c>
      <c r="AZ803" s="683" t="str">
        <f t="shared" si="33"/>
        <v/>
      </c>
      <c r="BA803" s="683" t="str">
        <f t="shared" si="34"/>
        <v/>
      </c>
      <c r="BB803" s="683" t="str">
        <f t="shared" si="35"/>
        <v/>
      </c>
      <c r="BC803" s="683" t="str">
        <f t="shared" si="36"/>
        <v/>
      </c>
      <c r="BD803" s="683" t="str">
        <f t="shared" si="37"/>
        <v/>
      </c>
      <c r="BE803" s="683" t="str">
        <f t="shared" si="38"/>
        <v/>
      </c>
      <c r="BF803" s="683" t="str">
        <f t="shared" si="39"/>
        <v/>
      </c>
      <c r="BG803" s="683" t="str">
        <f t="shared" si="40"/>
        <v/>
      </c>
      <c r="BH803" s="683" t="str">
        <f t="shared" si="41"/>
        <v/>
      </c>
      <c r="BI803" s="683" t="str">
        <f t="shared" si="42"/>
        <v/>
      </c>
      <c r="BJ803" s="683" t="str">
        <f t="shared" si="43"/>
        <v/>
      </c>
      <c r="BK803" s="683" t="str">
        <f t="shared" si="44"/>
        <v/>
      </c>
      <c r="BL803" s="683" t="str">
        <f t="shared" si="45"/>
        <v/>
      </c>
      <c r="BM803" s="683" t="str">
        <f t="shared" si="46"/>
        <v/>
      </c>
      <c r="BN803" s="683" t="str">
        <f t="shared" si="47"/>
        <v/>
      </c>
      <c r="BO803" s="683" t="str">
        <f t="shared" si="48"/>
        <v/>
      </c>
      <c r="BP803" s="683" t="str">
        <f t="shared" si="49"/>
        <v/>
      </c>
      <c r="BQ803" s="683" t="str">
        <f t="shared" si="50"/>
        <v/>
      </c>
      <c r="BR803" s="683" t="str">
        <f t="shared" si="51"/>
        <v/>
      </c>
      <c r="BS803" s="683" t="str">
        <f t="shared" si="52"/>
        <v/>
      </c>
      <c r="BT803" s="683" t="str">
        <f t="shared" si="53"/>
        <v/>
      </c>
      <c r="BU803" s="683" t="str">
        <f t="shared" si="54"/>
        <v/>
      </c>
      <c r="BV803" s="683" t="str">
        <f t="shared" si="55"/>
        <v/>
      </c>
      <c r="BW803" s="683" t="str">
        <f t="shared" si="56"/>
        <v/>
      </c>
      <c r="BX803" s="683" t="str">
        <f t="shared" si="57"/>
        <v/>
      </c>
      <c r="BY803" s="683" t="str">
        <f t="shared" si="58"/>
        <v/>
      </c>
      <c r="BZ803" s="683" t="str">
        <f t="shared" si="59"/>
        <v/>
      </c>
      <c r="CA803" s="683" t="str">
        <f t="shared" si="60"/>
        <v/>
      </c>
      <c r="CB803" s="683" t="str">
        <f t="shared" si="61"/>
        <v/>
      </c>
      <c r="CC803" s="683" t="str">
        <f t="shared" si="62"/>
        <v/>
      </c>
      <c r="CD803" s="683" t="str">
        <f t="shared" si="63"/>
        <v/>
      </c>
      <c r="CE803" s="683" t="str">
        <f t="shared" si="64"/>
        <v/>
      </c>
      <c r="CF803" s="683" t="str">
        <f t="shared" si="65"/>
        <v/>
      </c>
      <c r="CG803" s="683" t="str">
        <f t="shared" si="66"/>
        <v/>
      </c>
      <c r="CH803" s="683" t="str">
        <f t="shared" si="67"/>
        <v/>
      </c>
      <c r="CI803" s="683" t="str">
        <f t="shared" si="68"/>
        <v/>
      </c>
      <c r="CJ803" s="683" t="str">
        <f t="shared" si="69"/>
        <v/>
      </c>
      <c r="CK803" s="683" t="str">
        <f t="shared" si="70"/>
        <v/>
      </c>
      <c r="CL803" s="683" t="str">
        <f t="shared" si="71"/>
        <v/>
      </c>
      <c r="CM803" s="683" t="str">
        <f t="shared" si="72"/>
        <v/>
      </c>
      <c r="CN803" s="683" t="str">
        <f t="shared" si="73"/>
        <v/>
      </c>
      <c r="CO803" s="683" t="str">
        <f t="shared" si="74"/>
        <v/>
      </c>
      <c r="CP803" s="683" t="str">
        <f t="shared" si="75"/>
        <v/>
      </c>
      <c r="CQ803" s="683" t="str">
        <f t="shared" si="76"/>
        <v/>
      </c>
      <c r="CR803" s="683" t="str">
        <f t="shared" si="77"/>
        <v/>
      </c>
      <c r="CS803" s="683" t="str">
        <f t="shared" si="78"/>
        <v/>
      </c>
      <c r="CT803" s="683" t="str">
        <f t="shared" si="79"/>
        <v/>
      </c>
      <c r="CU803" s="683" t="str">
        <f t="shared" si="80"/>
        <v/>
      </c>
      <c r="CV803" s="683" t="str">
        <f t="shared" si="81"/>
        <v/>
      </c>
      <c r="CW803" s="683" t="str">
        <f t="shared" si="82"/>
        <v/>
      </c>
      <c r="CX803" s="683" t="str">
        <f t="shared" si="83"/>
        <v/>
      </c>
      <c r="CY803" s="683" t="str">
        <f t="shared" si="84"/>
        <v/>
      </c>
      <c r="CZ803" s="683" t="str">
        <f t="shared" si="85"/>
        <v/>
      </c>
      <c r="DA803" s="683" t="str">
        <f t="shared" si="86"/>
        <v/>
      </c>
      <c r="DB803" s="683" t="str">
        <f t="shared" si="87"/>
        <v/>
      </c>
      <c r="DC803" s="683" t="str">
        <f t="shared" si="88"/>
        <v/>
      </c>
      <c r="DD803" s="683" t="str">
        <f t="shared" si="89"/>
        <v/>
      </c>
      <c r="DE803" s="683" t="str">
        <f t="shared" si="90"/>
        <v/>
      </c>
      <c r="DF803" s="683" t="str">
        <f t="shared" si="91"/>
        <v/>
      </c>
      <c r="DG803" s="683" t="str">
        <f t="shared" si="92"/>
        <v/>
      </c>
      <c r="DH803" s="683" t="str">
        <f t="shared" si="93"/>
        <v/>
      </c>
      <c r="DI803" s="683" t="str">
        <f t="shared" si="94"/>
        <v/>
      </c>
      <c r="DJ803" s="683" t="str">
        <f t="shared" si="95"/>
        <v/>
      </c>
      <c r="DK803" s="683" t="str">
        <f t="shared" si="96"/>
        <v/>
      </c>
      <c r="DL803" s="683" t="str">
        <f t="shared" si="97"/>
        <v/>
      </c>
      <c r="DM803" s="683" t="str">
        <f t="shared" si="98"/>
        <v/>
      </c>
      <c r="DN803" s="683" t="str">
        <f t="shared" si="99"/>
        <v/>
      </c>
      <c r="DO803" s="683" t="str">
        <f t="shared" si="100"/>
        <v/>
      </c>
      <c r="DP803" s="683" t="str">
        <f t="shared" si="101"/>
        <v/>
      </c>
      <c r="DQ803" s="683" t="str">
        <f t="shared" si="102"/>
        <v/>
      </c>
      <c r="DR803" s="683" t="str">
        <f t="shared" si="103"/>
        <v/>
      </c>
      <c r="DS803" s="683" t="str">
        <f t="shared" si="104"/>
        <v/>
      </c>
      <c r="DT803" s="683" t="str">
        <f t="shared" si="105"/>
        <v/>
      </c>
      <c r="DU803" s="683" t="str">
        <f t="shared" si="106"/>
        <v/>
      </c>
      <c r="DV803" s="683" t="str">
        <f t="shared" si="107"/>
        <v/>
      </c>
      <c r="DW803" s="683" t="str">
        <f t="shared" si="108"/>
        <v/>
      </c>
      <c r="DX803" s="683" t="str">
        <f t="shared" si="109"/>
        <v/>
      </c>
      <c r="DY803" s="683" t="str">
        <f t="shared" si="110"/>
        <v/>
      </c>
      <c r="DZ803" s="683" t="str">
        <f t="shared" si="111"/>
        <v/>
      </c>
      <c r="EA803" s="683" t="str">
        <f t="shared" si="112"/>
        <v/>
      </c>
      <c r="EB803" s="683" t="str">
        <f t="shared" si="113"/>
        <v/>
      </c>
      <c r="EC803" s="683" t="str">
        <f t="shared" si="114"/>
        <v/>
      </c>
      <c r="ED803" s="683" t="str">
        <f t="shared" si="115"/>
        <v/>
      </c>
      <c r="EE803" s="683" t="str">
        <f t="shared" si="116"/>
        <v/>
      </c>
      <c r="EF803" s="683" t="str">
        <f t="shared" si="117"/>
        <v/>
      </c>
      <c r="EG803" s="683" t="str">
        <f t="shared" si="118"/>
        <v/>
      </c>
      <c r="EH803" s="683" t="str">
        <f t="shared" si="119"/>
        <v/>
      </c>
      <c r="EI803" s="683" t="str">
        <f t="shared" si="120"/>
        <v/>
      </c>
      <c r="EJ803" s="683" t="str">
        <f t="shared" si="121"/>
        <v/>
      </c>
      <c r="EK803" s="683" t="str">
        <f t="shared" si="122"/>
        <v/>
      </c>
      <c r="EL803" s="683" t="str">
        <f t="shared" si="123"/>
        <v/>
      </c>
      <c r="EM803" s="683" t="str">
        <f t="shared" si="124"/>
        <v/>
      </c>
      <c r="EN803" s="683" t="str">
        <f t="shared" si="125"/>
        <v/>
      </c>
      <c r="EO803" s="683" t="str">
        <f t="shared" si="126"/>
        <v/>
      </c>
      <c r="EP803" s="683" t="str">
        <f t="shared" si="127"/>
        <v/>
      </c>
      <c r="EQ803" s="683" t="str">
        <f t="shared" si="128"/>
        <v/>
      </c>
      <c r="ER803" s="683" t="str">
        <f t="shared" si="129"/>
        <v/>
      </c>
      <c r="ES803" s="683" t="str">
        <f t="shared" si="130"/>
        <v/>
      </c>
      <c r="ET803" s="683" t="str">
        <f t="shared" si="131"/>
        <v/>
      </c>
      <c r="EU803" s="683" t="str">
        <f t="shared" si="132"/>
        <v/>
      </c>
      <c r="EV803" s="683" t="str">
        <f t="shared" si="133"/>
        <v/>
      </c>
      <c r="EW803" s="1854" t="str">
        <f t="shared" si="134"/>
        <v/>
      </c>
      <c r="EX803" s="1854" t="str">
        <f t="shared" si="135"/>
        <v/>
      </c>
      <c r="EY803" s="1854" t="str">
        <f t="shared" si="136"/>
        <v/>
      </c>
      <c r="EZ803" s="1854" t="str">
        <f t="shared" si="137"/>
        <v/>
      </c>
      <c r="FA803" s="1854" t="str">
        <f t="shared" si="138"/>
        <v/>
      </c>
      <c r="FB803" s="1854" t="str">
        <f t="shared" si="139"/>
        <v/>
      </c>
      <c r="FC803" s="1854" t="str">
        <f t="shared" si="140"/>
        <v/>
      </c>
      <c r="FD803" s="1854" t="str">
        <f t="shared" si="141"/>
        <v/>
      </c>
      <c r="FE803" s="1854" t="str">
        <f t="shared" si="142"/>
        <v/>
      </c>
      <c r="FF803" s="1854" t="str">
        <f t="shared" si="143"/>
        <v/>
      </c>
      <c r="FG803" s="1854" t="str">
        <f t="shared" si="144"/>
        <v/>
      </c>
      <c r="FH803" s="1854" t="str">
        <f t="shared" si="145"/>
        <v/>
      </c>
      <c r="FI803" s="1854" t="str">
        <f t="shared" si="146"/>
        <v/>
      </c>
      <c r="FJ803" s="1854" t="str">
        <f t="shared" si="147"/>
        <v/>
      </c>
      <c r="FK803" s="1854" t="str">
        <f t="shared" si="148"/>
        <v/>
      </c>
      <c r="FL803" s="1854" t="str">
        <f t="shared" si="149"/>
        <v/>
      </c>
      <c r="FM803" s="1854" t="str">
        <f t="shared" si="150"/>
        <v/>
      </c>
      <c r="FN803" s="1854" t="str">
        <f t="shared" si="151"/>
        <v/>
      </c>
      <c r="FO803" s="1854" t="str">
        <f t="shared" si="152"/>
        <v/>
      </c>
      <c r="FP803" s="1854" t="str">
        <f t="shared" si="153"/>
        <v/>
      </c>
      <c r="FQ803" s="1854" t="str">
        <f t="shared" si="154"/>
        <v/>
      </c>
      <c r="FR803" s="1854" t="str">
        <f t="shared" si="155"/>
        <v/>
      </c>
      <c r="FS803" s="1854" t="str">
        <f t="shared" si="156"/>
        <v/>
      </c>
      <c r="FT803" s="1854" t="str">
        <f t="shared" si="157"/>
        <v/>
      </c>
      <c r="FU803" s="1854" t="str">
        <f t="shared" si="158"/>
        <v/>
      </c>
      <c r="FV803" s="1854" t="str">
        <f t="shared" si="159"/>
        <v/>
      </c>
      <c r="FW803" s="1854" t="str">
        <f t="shared" si="160"/>
        <v/>
      </c>
      <c r="FX803" s="1854" t="str">
        <f t="shared" si="161"/>
        <v/>
      </c>
      <c r="FY803" s="1854" t="str">
        <f t="shared" si="162"/>
        <v/>
      </c>
      <c r="FZ803" s="1854" t="str">
        <f t="shared" si="163"/>
        <v/>
      </c>
      <c r="GA803" s="1854" t="str">
        <f t="shared" si="164"/>
        <v/>
      </c>
      <c r="GB803" s="1854" t="str">
        <f t="shared" si="165"/>
        <v/>
      </c>
      <c r="GC803" s="1854" t="str">
        <f t="shared" si="166"/>
        <v/>
      </c>
      <c r="GD803" s="1854" t="str">
        <f t="shared" si="167"/>
        <v/>
      </c>
      <c r="GE803" s="1854" t="str">
        <f t="shared" si="168"/>
        <v/>
      </c>
      <c r="GF803" s="1854" t="str">
        <f t="shared" si="169"/>
        <v/>
      </c>
      <c r="GG803" s="1854" t="str">
        <f t="shared" si="170"/>
        <v/>
      </c>
      <c r="GH803" s="1854" t="str">
        <f t="shared" si="171"/>
        <v/>
      </c>
      <c r="GI803" s="1854" t="str">
        <f t="shared" si="172"/>
        <v/>
      </c>
      <c r="GJ803" s="1854" t="str">
        <f t="shared" si="173"/>
        <v/>
      </c>
      <c r="GK803" s="1854" t="str">
        <f t="shared" si="174"/>
        <v/>
      </c>
      <c r="GL803" s="1854" t="str">
        <f t="shared" si="175"/>
        <v/>
      </c>
      <c r="GM803" s="1854" t="str">
        <f t="shared" si="176"/>
        <v/>
      </c>
      <c r="GN803" s="1854" t="str">
        <f t="shared" si="177"/>
        <v/>
      </c>
      <c r="GO803" s="1854" t="str">
        <f t="shared" si="178"/>
        <v/>
      </c>
      <c r="GP803" s="1854" t="str">
        <f t="shared" si="179"/>
        <v/>
      </c>
      <c r="GQ803" s="1854" t="str">
        <f t="shared" si="180"/>
        <v/>
      </c>
      <c r="GR803" s="1854" t="str">
        <f t="shared" si="181"/>
        <v/>
      </c>
      <c r="GS803" s="1854" t="str">
        <f t="shared" si="182"/>
        <v/>
      </c>
      <c r="GT803" s="1854" t="str">
        <f t="shared" si="183"/>
        <v/>
      </c>
      <c r="GU803" s="1854" t="str">
        <f t="shared" si="184"/>
        <v/>
      </c>
      <c r="GV803" s="1854" t="str">
        <f t="shared" si="185"/>
        <v/>
      </c>
      <c r="GW803" s="1854" t="str">
        <f t="shared" si="186"/>
        <v/>
      </c>
      <c r="GX803" s="1854" t="str">
        <f t="shared" si="187"/>
        <v/>
      </c>
      <c r="GY803" s="1854" t="str">
        <f t="shared" si="188"/>
        <v/>
      </c>
      <c r="GZ803" s="1854" t="str">
        <f t="shared" si="189"/>
        <v/>
      </c>
      <c r="HA803" s="1854" t="str">
        <f t="shared" si="190"/>
        <v/>
      </c>
      <c r="HB803" s="1854" t="str">
        <f t="shared" si="191"/>
        <v/>
      </c>
      <c r="HC803" s="1854" t="str">
        <f t="shared" si="192"/>
        <v/>
      </c>
      <c r="HD803" s="1854" t="str">
        <f t="shared" si="193"/>
        <v/>
      </c>
      <c r="HE803" s="1854" t="str">
        <f t="shared" si="194"/>
        <v/>
      </c>
      <c r="HF803" s="1854" t="str">
        <f t="shared" si="195"/>
        <v/>
      </c>
      <c r="HG803" s="1854" t="str">
        <f t="shared" si="196"/>
        <v/>
      </c>
      <c r="HH803" s="1854" t="str">
        <f t="shared" si="197"/>
        <v/>
      </c>
      <c r="HI803" s="1854" t="str">
        <f t="shared" si="198"/>
        <v/>
      </c>
      <c r="HJ803" s="1854" t="str">
        <f t="shared" si="199"/>
        <v/>
      </c>
      <c r="HK803" s="1854" t="str">
        <f t="shared" si="200"/>
        <v/>
      </c>
      <c r="HL803" s="1854" t="str">
        <f t="shared" si="201"/>
        <v/>
      </c>
      <c r="HM803" s="1854" t="str">
        <f t="shared" si="202"/>
        <v/>
      </c>
      <c r="HN803" s="1854" t="str">
        <f t="shared" si="203"/>
        <v/>
      </c>
      <c r="HO803" s="1854" t="str">
        <f t="shared" si="204"/>
        <v/>
      </c>
      <c r="HP803" s="1854" t="str">
        <f t="shared" si="205"/>
        <v/>
      </c>
      <c r="HQ803" s="1854" t="str">
        <f t="shared" si="206"/>
        <v/>
      </c>
      <c r="HR803" s="1854" t="str">
        <f t="shared" si="207"/>
        <v/>
      </c>
      <c r="HS803" s="1854" t="str">
        <f t="shared" si="208"/>
        <v/>
      </c>
      <c r="HT803" s="1854" t="str">
        <f t="shared" si="209"/>
        <v/>
      </c>
      <c r="HU803" s="1854" t="str">
        <f t="shared" si="210"/>
        <v/>
      </c>
      <c r="HV803" s="1854" t="str">
        <f t="shared" si="211"/>
        <v/>
      </c>
      <c r="HW803" s="1854" t="str">
        <f t="shared" si="212"/>
        <v/>
      </c>
      <c r="HX803" s="1854" t="str">
        <f t="shared" si="213"/>
        <v/>
      </c>
      <c r="HY803" s="1854" t="str">
        <f t="shared" si="214"/>
        <v/>
      </c>
      <c r="HZ803" s="1854" t="str">
        <f t="shared" si="215"/>
        <v/>
      </c>
      <c r="IA803" s="1854" t="str">
        <f t="shared" si="216"/>
        <v/>
      </c>
      <c r="IB803" s="1854" t="str">
        <f t="shared" si="217"/>
        <v/>
      </c>
      <c r="IC803" s="1854" t="str">
        <f t="shared" si="218"/>
        <v/>
      </c>
      <c r="ID803" s="1826" t="str">
        <f t="shared" si="219"/>
        <v/>
      </c>
      <c r="IE803" s="1826" t="str">
        <f t="shared" si="220"/>
        <v/>
      </c>
      <c r="IF803" s="1826" t="str">
        <f t="shared" si="221"/>
        <v/>
      </c>
      <c r="IG803" s="1826" t="str">
        <f t="shared" si="222"/>
        <v/>
      </c>
      <c r="IH803" s="1826" t="str">
        <f t="shared" si="223"/>
        <v/>
      </c>
      <c r="II803" s="683" t="str">
        <f t="shared" si="224"/>
        <v/>
      </c>
      <c r="IJ803" s="683" t="str">
        <f t="shared" si="225"/>
        <v/>
      </c>
      <c r="IK803" s="683" t="str">
        <f t="shared" si="226"/>
        <v/>
      </c>
      <c r="IL803" s="683" t="str">
        <f t="shared" si="227"/>
        <v/>
      </c>
      <c r="IM803" s="683" t="str">
        <f t="shared" si="228"/>
        <v/>
      </c>
      <c r="IN803" s="683" t="str">
        <f t="shared" si="229"/>
        <v/>
      </c>
      <c r="IO803" s="683" t="str">
        <f t="shared" si="230"/>
        <v/>
      </c>
      <c r="IP803" s="683" t="str">
        <f t="shared" si="231"/>
        <v/>
      </c>
      <c r="IQ803" s="683" t="str">
        <f t="shared" si="232"/>
        <v/>
      </c>
      <c r="IR803" s="683" t="str">
        <f t="shared" si="233"/>
        <v/>
      </c>
      <c r="IS803" s="683" t="str">
        <f t="shared" si="234"/>
        <v/>
      </c>
      <c r="IT803" s="683" t="str">
        <f t="shared" si="235"/>
        <v/>
      </c>
      <c r="IU803" s="683" t="str">
        <f t="shared" si="236"/>
        <v/>
      </c>
      <c r="IV803" s="683" t="str">
        <f t="shared" si="237"/>
        <v/>
      </c>
      <c r="IW803" s="683" t="str">
        <f t="shared" si="238"/>
        <v/>
      </c>
      <c r="IX803" s="683" t="str">
        <f t="shared" si="239"/>
        <v/>
      </c>
      <c r="IY803" s="683" t="str">
        <f t="shared" si="240"/>
        <v/>
      </c>
      <c r="IZ803" s="683" t="str">
        <f t="shared" si="241"/>
        <v/>
      </c>
      <c r="JA803" s="683" t="str">
        <f t="shared" si="242"/>
        <v/>
      </c>
      <c r="JB803" s="683" t="str">
        <f t="shared" si="243"/>
        <v/>
      </c>
      <c r="JC803" s="1824">
        <f t="shared" si="244"/>
        <v>0</v>
      </c>
      <c r="JD803" s="1824">
        <f t="shared" si="245"/>
        <v>0</v>
      </c>
      <c r="JE803" s="1824">
        <f t="shared" si="246"/>
        <v>0</v>
      </c>
      <c r="JF803" s="1824">
        <f t="shared" si="247"/>
        <v>0</v>
      </c>
      <c r="JG803" s="1824">
        <f t="shared" si="248"/>
        <v>0</v>
      </c>
      <c r="JH803" s="1824">
        <f t="shared" si="249"/>
        <v>0</v>
      </c>
      <c r="JI803" s="1824">
        <f t="shared" si="250"/>
        <v>0</v>
      </c>
      <c r="JJ803" s="1824">
        <f t="shared" si="251"/>
        <v>0</v>
      </c>
      <c r="JK803" s="1824">
        <f t="shared" si="252"/>
        <v>0</v>
      </c>
      <c r="JL803" s="1824">
        <f t="shared" si="253"/>
        <v>0</v>
      </c>
      <c r="JM803" s="1824">
        <f t="shared" si="254"/>
        <v>0</v>
      </c>
      <c r="JN803" s="1824">
        <f t="shared" si="255"/>
        <v>0</v>
      </c>
      <c r="JO803" s="1824">
        <f t="shared" si="256"/>
        <v>0</v>
      </c>
      <c r="JP803" s="1824">
        <f t="shared" si="257"/>
        <v>0</v>
      </c>
      <c r="JQ803" s="1824">
        <f t="shared" si="258"/>
        <v>0</v>
      </c>
    </row>
    <row r="804" spans="1:278" ht="12" customHeight="1">
      <c r="A804" s="1837" t="str">
        <f t="shared" si="1"/>
        <v/>
      </c>
      <c r="B804" s="1846" t="str">
        <f>'Part VI-Revenues &amp; Expenses'!B47</f>
        <v>&lt;&lt;Select&gt;&gt;</v>
      </c>
      <c r="C804" s="1847">
        <f>'Part VI-Revenues &amp; Expenses'!C47</f>
        <v>0</v>
      </c>
      <c r="D804" s="1848">
        <f>'Part VI-Revenues &amp; Expenses'!D47</f>
        <v>0</v>
      </c>
      <c r="E804" s="1849">
        <f>'Part VI-Revenues &amp; Expenses'!E47</f>
        <v>0</v>
      </c>
      <c r="F804" s="1849">
        <f>'Part VI-Revenues &amp; Expenses'!F47</f>
        <v>0</v>
      </c>
      <c r="G804" s="1849">
        <f>'Part VI-Revenues &amp; Expenses'!G47</f>
        <v>0</v>
      </c>
      <c r="H804" s="1849">
        <f>'Part VI-Revenues &amp; Expenses'!H47</f>
        <v>0</v>
      </c>
      <c r="I804" s="1849">
        <f>'Part VI-Revenues &amp; Expenses'!I47</f>
        <v>0</v>
      </c>
      <c r="J804" s="1850">
        <f>'Part VI-Revenues &amp; Expenses'!J47</f>
        <v>0</v>
      </c>
      <c r="K804" s="1851">
        <f t="shared" si="2"/>
        <v>0</v>
      </c>
      <c r="L804" s="1851">
        <f t="shared" si="3"/>
        <v>0</v>
      </c>
      <c r="M804" s="1725">
        <f>'Part VI-Revenues &amp; Expenses'!M47</f>
        <v>0</v>
      </c>
      <c r="N804" s="1725">
        <f>'Part VI-Revenues &amp; Expenses'!N47</f>
        <v>0</v>
      </c>
      <c r="O804" s="1725">
        <f>'Part VI-Revenues &amp; Expenses'!O47</f>
        <v>0</v>
      </c>
      <c r="P804" s="1831">
        <f>'Part VI-Revenues &amp; Expenses'!P47</f>
        <v>0</v>
      </c>
      <c r="Q804" s="1852" t="str">
        <f>'Part VI-Revenues &amp; Expenses'!Q47</f>
        <v/>
      </c>
      <c r="R804" s="1853" t="str">
        <f>'Part VI-Revenues &amp; Expenses'!R47</f>
        <v/>
      </c>
      <c r="S804" s="1852">
        <f>'Part VI-Revenues &amp; Expenses'!S47</f>
        <v>0</v>
      </c>
      <c r="T804" s="1853">
        <f>'Part VI-Revenues &amp; Expenses'!T47</f>
        <v>0</v>
      </c>
      <c r="U804" s="1775"/>
      <c r="V804" s="1775"/>
      <c r="W804" s="683" t="str">
        <f t="shared" si="4"/>
        <v/>
      </c>
      <c r="X804" s="683" t="str">
        <f t="shared" si="5"/>
        <v/>
      </c>
      <c r="Y804" s="683" t="str">
        <f t="shared" si="6"/>
        <v/>
      </c>
      <c r="Z804" s="683" t="str">
        <f t="shared" si="7"/>
        <v/>
      </c>
      <c r="AA804" s="683" t="str">
        <f t="shared" si="8"/>
        <v/>
      </c>
      <c r="AB804" s="683" t="str">
        <f t="shared" si="9"/>
        <v/>
      </c>
      <c r="AC804" s="683" t="str">
        <f t="shared" si="10"/>
        <v/>
      </c>
      <c r="AD804" s="683" t="str">
        <f t="shared" si="11"/>
        <v/>
      </c>
      <c r="AE804" s="683" t="str">
        <f t="shared" si="12"/>
        <v/>
      </c>
      <c r="AF804" s="683" t="str">
        <f t="shared" si="13"/>
        <v/>
      </c>
      <c r="AG804" s="683" t="str">
        <f t="shared" si="14"/>
        <v/>
      </c>
      <c r="AH804" s="683" t="str">
        <f t="shared" si="15"/>
        <v/>
      </c>
      <c r="AI804" s="683" t="str">
        <f t="shared" si="16"/>
        <v/>
      </c>
      <c r="AJ804" s="683" t="str">
        <f t="shared" si="17"/>
        <v/>
      </c>
      <c r="AK804" s="683" t="str">
        <f t="shared" si="18"/>
        <v/>
      </c>
      <c r="AL804" s="683" t="str">
        <f t="shared" si="19"/>
        <v/>
      </c>
      <c r="AM804" s="683" t="str">
        <f t="shared" si="20"/>
        <v/>
      </c>
      <c r="AN804" s="683" t="str">
        <f t="shared" si="21"/>
        <v/>
      </c>
      <c r="AO804" s="683" t="str">
        <f t="shared" si="22"/>
        <v/>
      </c>
      <c r="AP804" s="683" t="str">
        <f t="shared" si="23"/>
        <v/>
      </c>
      <c r="AQ804" s="683" t="str">
        <f t="shared" si="24"/>
        <v/>
      </c>
      <c r="AR804" s="683" t="str">
        <f t="shared" si="25"/>
        <v/>
      </c>
      <c r="AS804" s="683" t="str">
        <f t="shared" si="26"/>
        <v/>
      </c>
      <c r="AT804" s="683" t="str">
        <f t="shared" si="27"/>
        <v/>
      </c>
      <c r="AU804" s="683" t="str">
        <f t="shared" si="28"/>
        <v/>
      </c>
      <c r="AV804" s="683" t="str">
        <f t="shared" si="29"/>
        <v/>
      </c>
      <c r="AW804" s="683" t="str">
        <f t="shared" si="30"/>
        <v/>
      </c>
      <c r="AX804" s="683" t="str">
        <f t="shared" si="31"/>
        <v/>
      </c>
      <c r="AY804" s="683" t="str">
        <f t="shared" si="32"/>
        <v/>
      </c>
      <c r="AZ804" s="683" t="str">
        <f t="shared" si="33"/>
        <v/>
      </c>
      <c r="BA804" s="683" t="str">
        <f t="shared" si="34"/>
        <v/>
      </c>
      <c r="BB804" s="683" t="str">
        <f t="shared" si="35"/>
        <v/>
      </c>
      <c r="BC804" s="683" t="str">
        <f t="shared" si="36"/>
        <v/>
      </c>
      <c r="BD804" s="683" t="str">
        <f t="shared" si="37"/>
        <v/>
      </c>
      <c r="BE804" s="683" t="str">
        <f t="shared" si="38"/>
        <v/>
      </c>
      <c r="BF804" s="683" t="str">
        <f t="shared" si="39"/>
        <v/>
      </c>
      <c r="BG804" s="683" t="str">
        <f t="shared" si="40"/>
        <v/>
      </c>
      <c r="BH804" s="683" t="str">
        <f t="shared" si="41"/>
        <v/>
      </c>
      <c r="BI804" s="683" t="str">
        <f t="shared" si="42"/>
        <v/>
      </c>
      <c r="BJ804" s="683" t="str">
        <f t="shared" si="43"/>
        <v/>
      </c>
      <c r="BK804" s="683" t="str">
        <f t="shared" si="44"/>
        <v/>
      </c>
      <c r="BL804" s="683" t="str">
        <f t="shared" si="45"/>
        <v/>
      </c>
      <c r="BM804" s="683" t="str">
        <f t="shared" si="46"/>
        <v/>
      </c>
      <c r="BN804" s="683" t="str">
        <f t="shared" si="47"/>
        <v/>
      </c>
      <c r="BO804" s="683" t="str">
        <f t="shared" si="48"/>
        <v/>
      </c>
      <c r="BP804" s="683" t="str">
        <f t="shared" si="49"/>
        <v/>
      </c>
      <c r="BQ804" s="683" t="str">
        <f t="shared" si="50"/>
        <v/>
      </c>
      <c r="BR804" s="683" t="str">
        <f t="shared" si="51"/>
        <v/>
      </c>
      <c r="BS804" s="683" t="str">
        <f t="shared" si="52"/>
        <v/>
      </c>
      <c r="BT804" s="683" t="str">
        <f t="shared" si="53"/>
        <v/>
      </c>
      <c r="BU804" s="683" t="str">
        <f t="shared" si="54"/>
        <v/>
      </c>
      <c r="BV804" s="683" t="str">
        <f t="shared" si="55"/>
        <v/>
      </c>
      <c r="BW804" s="683" t="str">
        <f t="shared" si="56"/>
        <v/>
      </c>
      <c r="BX804" s="683" t="str">
        <f t="shared" si="57"/>
        <v/>
      </c>
      <c r="BY804" s="683" t="str">
        <f t="shared" si="58"/>
        <v/>
      </c>
      <c r="BZ804" s="683" t="str">
        <f t="shared" si="59"/>
        <v/>
      </c>
      <c r="CA804" s="683" t="str">
        <f t="shared" si="60"/>
        <v/>
      </c>
      <c r="CB804" s="683" t="str">
        <f t="shared" si="61"/>
        <v/>
      </c>
      <c r="CC804" s="683" t="str">
        <f t="shared" si="62"/>
        <v/>
      </c>
      <c r="CD804" s="683" t="str">
        <f t="shared" si="63"/>
        <v/>
      </c>
      <c r="CE804" s="683" t="str">
        <f t="shared" si="64"/>
        <v/>
      </c>
      <c r="CF804" s="683" t="str">
        <f t="shared" si="65"/>
        <v/>
      </c>
      <c r="CG804" s="683" t="str">
        <f t="shared" si="66"/>
        <v/>
      </c>
      <c r="CH804" s="683" t="str">
        <f t="shared" si="67"/>
        <v/>
      </c>
      <c r="CI804" s="683" t="str">
        <f t="shared" si="68"/>
        <v/>
      </c>
      <c r="CJ804" s="683" t="str">
        <f t="shared" si="69"/>
        <v/>
      </c>
      <c r="CK804" s="683" t="str">
        <f t="shared" si="70"/>
        <v/>
      </c>
      <c r="CL804" s="683" t="str">
        <f t="shared" si="71"/>
        <v/>
      </c>
      <c r="CM804" s="683" t="str">
        <f t="shared" si="72"/>
        <v/>
      </c>
      <c r="CN804" s="683" t="str">
        <f t="shared" si="73"/>
        <v/>
      </c>
      <c r="CO804" s="683" t="str">
        <f t="shared" si="74"/>
        <v/>
      </c>
      <c r="CP804" s="683" t="str">
        <f t="shared" si="75"/>
        <v/>
      </c>
      <c r="CQ804" s="683" t="str">
        <f t="shared" si="76"/>
        <v/>
      </c>
      <c r="CR804" s="683" t="str">
        <f t="shared" si="77"/>
        <v/>
      </c>
      <c r="CS804" s="683" t="str">
        <f t="shared" si="78"/>
        <v/>
      </c>
      <c r="CT804" s="683" t="str">
        <f t="shared" si="79"/>
        <v/>
      </c>
      <c r="CU804" s="683" t="str">
        <f t="shared" si="80"/>
        <v/>
      </c>
      <c r="CV804" s="683" t="str">
        <f t="shared" si="81"/>
        <v/>
      </c>
      <c r="CW804" s="683" t="str">
        <f t="shared" si="82"/>
        <v/>
      </c>
      <c r="CX804" s="683" t="str">
        <f t="shared" si="83"/>
        <v/>
      </c>
      <c r="CY804" s="683" t="str">
        <f t="shared" si="84"/>
        <v/>
      </c>
      <c r="CZ804" s="683" t="str">
        <f t="shared" si="85"/>
        <v/>
      </c>
      <c r="DA804" s="683" t="str">
        <f t="shared" si="86"/>
        <v/>
      </c>
      <c r="DB804" s="683" t="str">
        <f t="shared" si="87"/>
        <v/>
      </c>
      <c r="DC804" s="683" t="str">
        <f t="shared" si="88"/>
        <v/>
      </c>
      <c r="DD804" s="683" t="str">
        <f t="shared" si="89"/>
        <v/>
      </c>
      <c r="DE804" s="683" t="str">
        <f t="shared" si="90"/>
        <v/>
      </c>
      <c r="DF804" s="683" t="str">
        <f t="shared" si="91"/>
        <v/>
      </c>
      <c r="DG804" s="683" t="str">
        <f t="shared" si="92"/>
        <v/>
      </c>
      <c r="DH804" s="683" t="str">
        <f t="shared" si="93"/>
        <v/>
      </c>
      <c r="DI804" s="683" t="str">
        <f t="shared" si="94"/>
        <v/>
      </c>
      <c r="DJ804" s="683" t="str">
        <f t="shared" si="95"/>
        <v/>
      </c>
      <c r="DK804" s="683" t="str">
        <f t="shared" si="96"/>
        <v/>
      </c>
      <c r="DL804" s="683" t="str">
        <f t="shared" si="97"/>
        <v/>
      </c>
      <c r="DM804" s="683" t="str">
        <f t="shared" si="98"/>
        <v/>
      </c>
      <c r="DN804" s="683" t="str">
        <f t="shared" si="99"/>
        <v/>
      </c>
      <c r="DO804" s="683" t="str">
        <f t="shared" si="100"/>
        <v/>
      </c>
      <c r="DP804" s="683" t="str">
        <f t="shared" si="101"/>
        <v/>
      </c>
      <c r="DQ804" s="683" t="str">
        <f t="shared" si="102"/>
        <v/>
      </c>
      <c r="DR804" s="683" t="str">
        <f t="shared" si="103"/>
        <v/>
      </c>
      <c r="DS804" s="683" t="str">
        <f t="shared" si="104"/>
        <v/>
      </c>
      <c r="DT804" s="683" t="str">
        <f t="shared" si="105"/>
        <v/>
      </c>
      <c r="DU804" s="683" t="str">
        <f t="shared" si="106"/>
        <v/>
      </c>
      <c r="DV804" s="683" t="str">
        <f t="shared" si="107"/>
        <v/>
      </c>
      <c r="DW804" s="683" t="str">
        <f t="shared" si="108"/>
        <v/>
      </c>
      <c r="DX804" s="683" t="str">
        <f t="shared" si="109"/>
        <v/>
      </c>
      <c r="DY804" s="683" t="str">
        <f t="shared" si="110"/>
        <v/>
      </c>
      <c r="DZ804" s="683" t="str">
        <f t="shared" si="111"/>
        <v/>
      </c>
      <c r="EA804" s="683" t="str">
        <f t="shared" si="112"/>
        <v/>
      </c>
      <c r="EB804" s="683" t="str">
        <f t="shared" si="113"/>
        <v/>
      </c>
      <c r="EC804" s="683" t="str">
        <f t="shared" si="114"/>
        <v/>
      </c>
      <c r="ED804" s="683" t="str">
        <f t="shared" si="115"/>
        <v/>
      </c>
      <c r="EE804" s="683" t="str">
        <f t="shared" si="116"/>
        <v/>
      </c>
      <c r="EF804" s="683" t="str">
        <f t="shared" si="117"/>
        <v/>
      </c>
      <c r="EG804" s="683" t="str">
        <f t="shared" si="118"/>
        <v/>
      </c>
      <c r="EH804" s="683" t="str">
        <f t="shared" si="119"/>
        <v/>
      </c>
      <c r="EI804" s="683" t="str">
        <f t="shared" si="120"/>
        <v/>
      </c>
      <c r="EJ804" s="683" t="str">
        <f t="shared" si="121"/>
        <v/>
      </c>
      <c r="EK804" s="683" t="str">
        <f t="shared" si="122"/>
        <v/>
      </c>
      <c r="EL804" s="683" t="str">
        <f t="shared" si="123"/>
        <v/>
      </c>
      <c r="EM804" s="683" t="str">
        <f t="shared" si="124"/>
        <v/>
      </c>
      <c r="EN804" s="683" t="str">
        <f t="shared" si="125"/>
        <v/>
      </c>
      <c r="EO804" s="683" t="str">
        <f t="shared" si="126"/>
        <v/>
      </c>
      <c r="EP804" s="683" t="str">
        <f t="shared" si="127"/>
        <v/>
      </c>
      <c r="EQ804" s="683" t="str">
        <f t="shared" si="128"/>
        <v/>
      </c>
      <c r="ER804" s="683" t="str">
        <f t="shared" si="129"/>
        <v/>
      </c>
      <c r="ES804" s="683" t="str">
        <f t="shared" si="130"/>
        <v/>
      </c>
      <c r="ET804" s="683" t="str">
        <f t="shared" si="131"/>
        <v/>
      </c>
      <c r="EU804" s="683" t="str">
        <f t="shared" si="132"/>
        <v/>
      </c>
      <c r="EV804" s="683" t="str">
        <f t="shared" si="133"/>
        <v/>
      </c>
      <c r="EW804" s="1854" t="str">
        <f t="shared" si="134"/>
        <v/>
      </c>
      <c r="EX804" s="1854" t="str">
        <f t="shared" si="135"/>
        <v/>
      </c>
      <c r="EY804" s="1854" t="str">
        <f t="shared" si="136"/>
        <v/>
      </c>
      <c r="EZ804" s="1854" t="str">
        <f t="shared" si="137"/>
        <v/>
      </c>
      <c r="FA804" s="1854" t="str">
        <f t="shared" si="138"/>
        <v/>
      </c>
      <c r="FB804" s="1854" t="str">
        <f t="shared" si="139"/>
        <v/>
      </c>
      <c r="FC804" s="1854" t="str">
        <f t="shared" si="140"/>
        <v/>
      </c>
      <c r="FD804" s="1854" t="str">
        <f t="shared" si="141"/>
        <v/>
      </c>
      <c r="FE804" s="1854" t="str">
        <f t="shared" si="142"/>
        <v/>
      </c>
      <c r="FF804" s="1854" t="str">
        <f t="shared" si="143"/>
        <v/>
      </c>
      <c r="FG804" s="1854" t="str">
        <f t="shared" si="144"/>
        <v/>
      </c>
      <c r="FH804" s="1854" t="str">
        <f t="shared" si="145"/>
        <v/>
      </c>
      <c r="FI804" s="1854" t="str">
        <f t="shared" si="146"/>
        <v/>
      </c>
      <c r="FJ804" s="1854" t="str">
        <f t="shared" si="147"/>
        <v/>
      </c>
      <c r="FK804" s="1854" t="str">
        <f t="shared" si="148"/>
        <v/>
      </c>
      <c r="FL804" s="1854" t="str">
        <f t="shared" si="149"/>
        <v/>
      </c>
      <c r="FM804" s="1854" t="str">
        <f t="shared" si="150"/>
        <v/>
      </c>
      <c r="FN804" s="1854" t="str">
        <f t="shared" si="151"/>
        <v/>
      </c>
      <c r="FO804" s="1854" t="str">
        <f t="shared" si="152"/>
        <v/>
      </c>
      <c r="FP804" s="1854" t="str">
        <f t="shared" si="153"/>
        <v/>
      </c>
      <c r="FQ804" s="1854" t="str">
        <f t="shared" si="154"/>
        <v/>
      </c>
      <c r="FR804" s="1854" t="str">
        <f t="shared" si="155"/>
        <v/>
      </c>
      <c r="FS804" s="1854" t="str">
        <f t="shared" si="156"/>
        <v/>
      </c>
      <c r="FT804" s="1854" t="str">
        <f t="shared" si="157"/>
        <v/>
      </c>
      <c r="FU804" s="1854" t="str">
        <f t="shared" si="158"/>
        <v/>
      </c>
      <c r="FV804" s="1854" t="str">
        <f t="shared" si="159"/>
        <v/>
      </c>
      <c r="FW804" s="1854" t="str">
        <f t="shared" si="160"/>
        <v/>
      </c>
      <c r="FX804" s="1854" t="str">
        <f t="shared" si="161"/>
        <v/>
      </c>
      <c r="FY804" s="1854" t="str">
        <f t="shared" si="162"/>
        <v/>
      </c>
      <c r="FZ804" s="1854" t="str">
        <f t="shared" si="163"/>
        <v/>
      </c>
      <c r="GA804" s="1854" t="str">
        <f t="shared" si="164"/>
        <v/>
      </c>
      <c r="GB804" s="1854" t="str">
        <f t="shared" si="165"/>
        <v/>
      </c>
      <c r="GC804" s="1854" t="str">
        <f t="shared" si="166"/>
        <v/>
      </c>
      <c r="GD804" s="1854" t="str">
        <f t="shared" si="167"/>
        <v/>
      </c>
      <c r="GE804" s="1854" t="str">
        <f t="shared" si="168"/>
        <v/>
      </c>
      <c r="GF804" s="1854" t="str">
        <f t="shared" si="169"/>
        <v/>
      </c>
      <c r="GG804" s="1854" t="str">
        <f t="shared" si="170"/>
        <v/>
      </c>
      <c r="GH804" s="1854" t="str">
        <f t="shared" si="171"/>
        <v/>
      </c>
      <c r="GI804" s="1854" t="str">
        <f t="shared" si="172"/>
        <v/>
      </c>
      <c r="GJ804" s="1854" t="str">
        <f t="shared" si="173"/>
        <v/>
      </c>
      <c r="GK804" s="1854" t="str">
        <f t="shared" si="174"/>
        <v/>
      </c>
      <c r="GL804" s="1854" t="str">
        <f t="shared" si="175"/>
        <v/>
      </c>
      <c r="GM804" s="1854" t="str">
        <f t="shared" si="176"/>
        <v/>
      </c>
      <c r="GN804" s="1854" t="str">
        <f t="shared" si="177"/>
        <v/>
      </c>
      <c r="GO804" s="1854" t="str">
        <f t="shared" si="178"/>
        <v/>
      </c>
      <c r="GP804" s="1854" t="str">
        <f t="shared" si="179"/>
        <v/>
      </c>
      <c r="GQ804" s="1854" t="str">
        <f t="shared" si="180"/>
        <v/>
      </c>
      <c r="GR804" s="1854" t="str">
        <f t="shared" si="181"/>
        <v/>
      </c>
      <c r="GS804" s="1854" t="str">
        <f t="shared" si="182"/>
        <v/>
      </c>
      <c r="GT804" s="1854" t="str">
        <f t="shared" si="183"/>
        <v/>
      </c>
      <c r="GU804" s="1854" t="str">
        <f t="shared" si="184"/>
        <v/>
      </c>
      <c r="GV804" s="1854" t="str">
        <f t="shared" si="185"/>
        <v/>
      </c>
      <c r="GW804" s="1854" t="str">
        <f t="shared" si="186"/>
        <v/>
      </c>
      <c r="GX804" s="1854" t="str">
        <f t="shared" si="187"/>
        <v/>
      </c>
      <c r="GY804" s="1854" t="str">
        <f t="shared" si="188"/>
        <v/>
      </c>
      <c r="GZ804" s="1854" t="str">
        <f t="shared" si="189"/>
        <v/>
      </c>
      <c r="HA804" s="1854" t="str">
        <f t="shared" si="190"/>
        <v/>
      </c>
      <c r="HB804" s="1854" t="str">
        <f t="shared" si="191"/>
        <v/>
      </c>
      <c r="HC804" s="1854" t="str">
        <f t="shared" si="192"/>
        <v/>
      </c>
      <c r="HD804" s="1854" t="str">
        <f t="shared" si="193"/>
        <v/>
      </c>
      <c r="HE804" s="1854" t="str">
        <f t="shared" si="194"/>
        <v/>
      </c>
      <c r="HF804" s="1854" t="str">
        <f t="shared" si="195"/>
        <v/>
      </c>
      <c r="HG804" s="1854" t="str">
        <f t="shared" si="196"/>
        <v/>
      </c>
      <c r="HH804" s="1854" t="str">
        <f t="shared" si="197"/>
        <v/>
      </c>
      <c r="HI804" s="1854" t="str">
        <f t="shared" si="198"/>
        <v/>
      </c>
      <c r="HJ804" s="1854" t="str">
        <f t="shared" si="199"/>
        <v/>
      </c>
      <c r="HK804" s="1854" t="str">
        <f t="shared" si="200"/>
        <v/>
      </c>
      <c r="HL804" s="1854" t="str">
        <f t="shared" si="201"/>
        <v/>
      </c>
      <c r="HM804" s="1854" t="str">
        <f t="shared" si="202"/>
        <v/>
      </c>
      <c r="HN804" s="1854" t="str">
        <f t="shared" si="203"/>
        <v/>
      </c>
      <c r="HO804" s="1854" t="str">
        <f t="shared" si="204"/>
        <v/>
      </c>
      <c r="HP804" s="1854" t="str">
        <f t="shared" si="205"/>
        <v/>
      </c>
      <c r="HQ804" s="1854" t="str">
        <f t="shared" si="206"/>
        <v/>
      </c>
      <c r="HR804" s="1854" t="str">
        <f t="shared" si="207"/>
        <v/>
      </c>
      <c r="HS804" s="1854" t="str">
        <f t="shared" si="208"/>
        <v/>
      </c>
      <c r="HT804" s="1854" t="str">
        <f t="shared" si="209"/>
        <v/>
      </c>
      <c r="HU804" s="1854" t="str">
        <f t="shared" si="210"/>
        <v/>
      </c>
      <c r="HV804" s="1854" t="str">
        <f t="shared" si="211"/>
        <v/>
      </c>
      <c r="HW804" s="1854" t="str">
        <f t="shared" si="212"/>
        <v/>
      </c>
      <c r="HX804" s="1854" t="str">
        <f t="shared" si="213"/>
        <v/>
      </c>
      <c r="HY804" s="1854" t="str">
        <f t="shared" si="214"/>
        <v/>
      </c>
      <c r="HZ804" s="1854" t="str">
        <f t="shared" si="215"/>
        <v/>
      </c>
      <c r="IA804" s="1854" t="str">
        <f t="shared" si="216"/>
        <v/>
      </c>
      <c r="IB804" s="1854" t="str">
        <f t="shared" si="217"/>
        <v/>
      </c>
      <c r="IC804" s="1854" t="str">
        <f t="shared" si="218"/>
        <v/>
      </c>
      <c r="ID804" s="1826" t="str">
        <f t="shared" si="219"/>
        <v/>
      </c>
      <c r="IE804" s="1826" t="str">
        <f t="shared" si="220"/>
        <v/>
      </c>
      <c r="IF804" s="1826" t="str">
        <f t="shared" si="221"/>
        <v/>
      </c>
      <c r="IG804" s="1826" t="str">
        <f t="shared" si="222"/>
        <v/>
      </c>
      <c r="IH804" s="1826" t="str">
        <f t="shared" si="223"/>
        <v/>
      </c>
      <c r="II804" s="683" t="str">
        <f t="shared" si="224"/>
        <v/>
      </c>
      <c r="IJ804" s="683" t="str">
        <f t="shared" si="225"/>
        <v/>
      </c>
      <c r="IK804" s="683" t="str">
        <f t="shared" si="226"/>
        <v/>
      </c>
      <c r="IL804" s="683" t="str">
        <f t="shared" si="227"/>
        <v/>
      </c>
      <c r="IM804" s="683" t="str">
        <f t="shared" si="228"/>
        <v/>
      </c>
      <c r="IN804" s="683" t="str">
        <f t="shared" si="229"/>
        <v/>
      </c>
      <c r="IO804" s="683" t="str">
        <f t="shared" si="230"/>
        <v/>
      </c>
      <c r="IP804" s="683" t="str">
        <f t="shared" si="231"/>
        <v/>
      </c>
      <c r="IQ804" s="683" t="str">
        <f t="shared" si="232"/>
        <v/>
      </c>
      <c r="IR804" s="683" t="str">
        <f t="shared" si="233"/>
        <v/>
      </c>
      <c r="IS804" s="683" t="str">
        <f t="shared" si="234"/>
        <v/>
      </c>
      <c r="IT804" s="683" t="str">
        <f t="shared" si="235"/>
        <v/>
      </c>
      <c r="IU804" s="683" t="str">
        <f t="shared" si="236"/>
        <v/>
      </c>
      <c r="IV804" s="683" t="str">
        <f t="shared" si="237"/>
        <v/>
      </c>
      <c r="IW804" s="683" t="str">
        <f t="shared" si="238"/>
        <v/>
      </c>
      <c r="IX804" s="683" t="str">
        <f t="shared" si="239"/>
        <v/>
      </c>
      <c r="IY804" s="683" t="str">
        <f t="shared" si="240"/>
        <v/>
      </c>
      <c r="IZ804" s="683" t="str">
        <f t="shared" si="241"/>
        <v/>
      </c>
      <c r="JA804" s="683" t="str">
        <f t="shared" si="242"/>
        <v/>
      </c>
      <c r="JB804" s="683" t="str">
        <f t="shared" si="243"/>
        <v/>
      </c>
      <c r="JC804" s="1824">
        <f t="shared" si="244"/>
        <v>0</v>
      </c>
      <c r="JD804" s="1824">
        <f t="shared" si="245"/>
        <v>0</v>
      </c>
      <c r="JE804" s="1824">
        <f t="shared" si="246"/>
        <v>0</v>
      </c>
      <c r="JF804" s="1824">
        <f t="shared" si="247"/>
        <v>0</v>
      </c>
      <c r="JG804" s="1824">
        <f t="shared" si="248"/>
        <v>0</v>
      </c>
      <c r="JH804" s="1824">
        <f t="shared" si="249"/>
        <v>0</v>
      </c>
      <c r="JI804" s="1824">
        <f t="shared" si="250"/>
        <v>0</v>
      </c>
      <c r="JJ804" s="1824">
        <f t="shared" si="251"/>
        <v>0</v>
      </c>
      <c r="JK804" s="1824">
        <f t="shared" si="252"/>
        <v>0</v>
      </c>
      <c r="JL804" s="1824">
        <f t="shared" si="253"/>
        <v>0</v>
      </c>
      <c r="JM804" s="1824">
        <f t="shared" si="254"/>
        <v>0</v>
      </c>
      <c r="JN804" s="1824">
        <f t="shared" si="255"/>
        <v>0</v>
      </c>
      <c r="JO804" s="1824">
        <f t="shared" si="256"/>
        <v>0</v>
      </c>
      <c r="JP804" s="1824">
        <f t="shared" si="257"/>
        <v>0</v>
      </c>
      <c r="JQ804" s="1824">
        <f t="shared" si="258"/>
        <v>0</v>
      </c>
    </row>
    <row r="805" spans="1:278" ht="12" customHeight="1">
      <c r="A805" s="1837">
        <f>COUNT(A767,A768,A769,A770,A771,A772,A773,A774,A775,A776,A777,A778,A779,A780,A781,A782,A783,A784,A785,A786,A787,A788,A789,A790,A791,A792,A793,A794,A795,A796)</f>
        <v>0</v>
      </c>
      <c r="B805" s="1629"/>
      <c r="C805" s="1629"/>
      <c r="D805" s="1855" t="s">
        <v>1028</v>
      </c>
      <c r="E805" s="1856">
        <f>SUM(E767:E804)</f>
        <v>65</v>
      </c>
      <c r="F805" s="1857">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87408</v>
      </c>
      <c r="G805" s="479"/>
      <c r="H805" s="479"/>
      <c r="I805" s="479"/>
      <c r="J805" s="479"/>
      <c r="K805" s="1858" t="s">
        <v>1314</v>
      </c>
      <c r="L805" s="1856">
        <f>SUM(L767:L804)</f>
        <v>38738</v>
      </c>
      <c r="M805" s="1629"/>
      <c r="N805" s="1629"/>
      <c r="O805" s="1629"/>
      <c r="P805" s="1629"/>
      <c r="Q805" s="1629"/>
      <c r="R805" s="1629"/>
      <c r="S805" s="1629"/>
      <c r="T805" s="1629"/>
      <c r="U805" s="1836"/>
      <c r="V805" s="1859"/>
      <c r="W805" s="1859">
        <f t="shared" ref="W805:CH805" si="259">SUM(W767:W804)</f>
        <v>0</v>
      </c>
      <c r="X805" s="1859">
        <f t="shared" si="259"/>
        <v>0</v>
      </c>
      <c r="Y805" s="1859">
        <f t="shared" si="259"/>
        <v>28</v>
      </c>
      <c r="Z805" s="1859">
        <f t="shared" si="259"/>
        <v>12</v>
      </c>
      <c r="AA805" s="1859">
        <f t="shared" si="259"/>
        <v>0</v>
      </c>
      <c r="AB805" s="1859">
        <f t="shared" si="259"/>
        <v>0</v>
      </c>
      <c r="AC805" s="1859">
        <f t="shared" si="259"/>
        <v>0</v>
      </c>
      <c r="AD805" s="1859">
        <f t="shared" si="259"/>
        <v>17</v>
      </c>
      <c r="AE805" s="1859">
        <f t="shared" si="259"/>
        <v>8</v>
      </c>
      <c r="AF805" s="1859">
        <f t="shared" si="259"/>
        <v>0</v>
      </c>
      <c r="AG805" s="1859">
        <f t="shared" si="259"/>
        <v>0</v>
      </c>
      <c r="AH805" s="1859">
        <f t="shared" si="259"/>
        <v>0</v>
      </c>
      <c r="AI805" s="1859">
        <f t="shared" si="259"/>
        <v>0</v>
      </c>
      <c r="AJ805" s="1859">
        <f t="shared" si="259"/>
        <v>0</v>
      </c>
      <c r="AK805" s="1859">
        <f t="shared" si="259"/>
        <v>0</v>
      </c>
      <c r="AL805" s="1859">
        <f t="shared" si="259"/>
        <v>0</v>
      </c>
      <c r="AM805" s="1859">
        <f t="shared" si="259"/>
        <v>0</v>
      </c>
      <c r="AN805" s="1859">
        <f t="shared" si="259"/>
        <v>0</v>
      </c>
      <c r="AO805" s="1859">
        <f t="shared" si="259"/>
        <v>0</v>
      </c>
      <c r="AP805" s="1859">
        <f t="shared" si="259"/>
        <v>0</v>
      </c>
      <c r="AQ805" s="1859">
        <f t="shared" si="259"/>
        <v>0</v>
      </c>
      <c r="AR805" s="1859">
        <f t="shared" si="259"/>
        <v>0</v>
      </c>
      <c r="AS805" s="1859">
        <f t="shared" si="259"/>
        <v>0</v>
      </c>
      <c r="AT805" s="1859">
        <f t="shared" si="259"/>
        <v>0</v>
      </c>
      <c r="AU805" s="1859">
        <f t="shared" si="259"/>
        <v>0</v>
      </c>
      <c r="AV805" s="1859">
        <f t="shared" si="259"/>
        <v>0</v>
      </c>
      <c r="AW805" s="1859">
        <f t="shared" si="259"/>
        <v>0</v>
      </c>
      <c r="AX805" s="1859">
        <f t="shared" si="259"/>
        <v>17</v>
      </c>
      <c r="AY805" s="1859">
        <f t="shared" si="259"/>
        <v>8</v>
      </c>
      <c r="AZ805" s="1859">
        <f t="shared" si="259"/>
        <v>0</v>
      </c>
      <c r="BA805" s="1859">
        <f t="shared" si="259"/>
        <v>0</v>
      </c>
      <c r="BB805" s="1859">
        <f t="shared" si="259"/>
        <v>0</v>
      </c>
      <c r="BC805" s="1859">
        <f t="shared" si="259"/>
        <v>0</v>
      </c>
      <c r="BD805" s="1859">
        <f t="shared" si="259"/>
        <v>0</v>
      </c>
      <c r="BE805" s="1859">
        <f t="shared" si="259"/>
        <v>0</v>
      </c>
      <c r="BF805" s="1859">
        <f t="shared" si="259"/>
        <v>0</v>
      </c>
      <c r="BG805" s="1859">
        <f t="shared" si="259"/>
        <v>0</v>
      </c>
      <c r="BH805" s="1859">
        <f t="shared" si="259"/>
        <v>0</v>
      </c>
      <c r="BI805" s="1859">
        <f t="shared" si="259"/>
        <v>0</v>
      </c>
      <c r="BJ805" s="1859">
        <f t="shared" si="259"/>
        <v>0</v>
      </c>
      <c r="BK805" s="1859">
        <f t="shared" si="259"/>
        <v>0</v>
      </c>
      <c r="BL805" s="1859">
        <f t="shared" si="259"/>
        <v>0</v>
      </c>
      <c r="BM805" s="1859">
        <f t="shared" si="259"/>
        <v>0</v>
      </c>
      <c r="BN805" s="1859">
        <f t="shared" si="259"/>
        <v>0</v>
      </c>
      <c r="BO805" s="1859">
        <f t="shared" si="259"/>
        <v>0</v>
      </c>
      <c r="BP805" s="1859">
        <f t="shared" si="259"/>
        <v>0</v>
      </c>
      <c r="BQ805" s="1859">
        <f t="shared" si="259"/>
        <v>0</v>
      </c>
      <c r="BR805" s="1859">
        <f t="shared" si="259"/>
        <v>0</v>
      </c>
      <c r="BS805" s="1859">
        <f t="shared" si="259"/>
        <v>0</v>
      </c>
      <c r="BT805" s="1859">
        <f t="shared" si="259"/>
        <v>0</v>
      </c>
      <c r="BU805" s="1859">
        <f t="shared" si="259"/>
        <v>0</v>
      </c>
      <c r="BV805" s="1859">
        <f t="shared" si="259"/>
        <v>0</v>
      </c>
      <c r="BW805" s="1859">
        <f t="shared" si="259"/>
        <v>0</v>
      </c>
      <c r="BX805" s="1859">
        <f t="shared" si="259"/>
        <v>0</v>
      </c>
      <c r="BY805" s="1859">
        <f t="shared" si="259"/>
        <v>0</v>
      </c>
      <c r="BZ805" s="1859">
        <f t="shared" si="259"/>
        <v>0</v>
      </c>
      <c r="CA805" s="1859">
        <f t="shared" si="259"/>
        <v>0</v>
      </c>
      <c r="CB805" s="1859">
        <f t="shared" si="259"/>
        <v>34572</v>
      </c>
      <c r="CC805" s="1859">
        <f t="shared" si="259"/>
        <v>19108</v>
      </c>
      <c r="CD805" s="1859">
        <f t="shared" si="259"/>
        <v>0</v>
      </c>
      <c r="CE805" s="1859">
        <f t="shared" si="259"/>
        <v>0</v>
      </c>
      <c r="CF805" s="1859">
        <f t="shared" si="259"/>
        <v>0</v>
      </c>
      <c r="CG805" s="1859">
        <f t="shared" si="259"/>
        <v>21036</v>
      </c>
      <c r="CH805" s="1859">
        <f t="shared" si="259"/>
        <v>12692</v>
      </c>
      <c r="CI805" s="1859">
        <f t="shared" ref="CI805:ET805" si="260">SUM(CI767:CI804)</f>
        <v>0</v>
      </c>
      <c r="CJ805" s="1859">
        <f t="shared" si="260"/>
        <v>0</v>
      </c>
      <c r="CK805" s="1859">
        <f t="shared" si="260"/>
        <v>0</v>
      </c>
      <c r="CL805" s="1859">
        <f t="shared" si="260"/>
        <v>0</v>
      </c>
      <c r="CM805" s="1859">
        <f t="shared" si="260"/>
        <v>0</v>
      </c>
      <c r="CN805" s="1859">
        <f t="shared" si="260"/>
        <v>0</v>
      </c>
      <c r="CO805" s="1859">
        <f t="shared" si="260"/>
        <v>0</v>
      </c>
      <c r="CP805" s="1859">
        <f t="shared" si="260"/>
        <v>0</v>
      </c>
      <c r="CQ805" s="1859">
        <f t="shared" si="260"/>
        <v>0</v>
      </c>
      <c r="CR805" s="1859">
        <f t="shared" si="260"/>
        <v>0</v>
      </c>
      <c r="CS805" s="1859">
        <f t="shared" si="260"/>
        <v>0</v>
      </c>
      <c r="CT805" s="1859">
        <f t="shared" si="260"/>
        <v>0</v>
      </c>
      <c r="CU805" s="1859">
        <f t="shared" si="260"/>
        <v>0</v>
      </c>
      <c r="CV805" s="1859">
        <f t="shared" si="260"/>
        <v>21036</v>
      </c>
      <c r="CW805" s="1859">
        <f t="shared" si="260"/>
        <v>12692</v>
      </c>
      <c r="CX805" s="1859">
        <f t="shared" si="260"/>
        <v>0</v>
      </c>
      <c r="CY805" s="1859">
        <f t="shared" si="260"/>
        <v>0</v>
      </c>
      <c r="CZ805" s="1859">
        <f t="shared" si="260"/>
        <v>0</v>
      </c>
      <c r="DA805" s="1859">
        <f t="shared" si="260"/>
        <v>0</v>
      </c>
      <c r="DB805" s="1859">
        <f t="shared" si="260"/>
        <v>0</v>
      </c>
      <c r="DC805" s="1859">
        <f t="shared" si="260"/>
        <v>0</v>
      </c>
      <c r="DD805" s="1859">
        <f t="shared" si="260"/>
        <v>0</v>
      </c>
      <c r="DE805" s="1859">
        <f t="shared" si="260"/>
        <v>0</v>
      </c>
      <c r="DF805" s="1859">
        <f t="shared" si="260"/>
        <v>45</v>
      </c>
      <c r="DG805" s="1859">
        <f t="shared" si="260"/>
        <v>20</v>
      </c>
      <c r="DH805" s="1859">
        <f t="shared" si="260"/>
        <v>0</v>
      </c>
      <c r="DI805" s="1859">
        <f t="shared" si="260"/>
        <v>0</v>
      </c>
      <c r="DJ805" s="1859">
        <f t="shared" si="260"/>
        <v>0</v>
      </c>
      <c r="DK805" s="1859">
        <f t="shared" si="260"/>
        <v>0</v>
      </c>
      <c r="DL805" s="1859">
        <f t="shared" si="260"/>
        <v>0</v>
      </c>
      <c r="DM805" s="1859">
        <f t="shared" si="260"/>
        <v>0</v>
      </c>
      <c r="DN805" s="1859">
        <f t="shared" si="260"/>
        <v>0</v>
      </c>
      <c r="DO805" s="1859">
        <f t="shared" si="260"/>
        <v>0</v>
      </c>
      <c r="DP805" s="1859">
        <f t="shared" si="260"/>
        <v>0</v>
      </c>
      <c r="DQ805" s="1859">
        <f t="shared" si="260"/>
        <v>0</v>
      </c>
      <c r="DR805" s="1859">
        <f t="shared" si="260"/>
        <v>0</v>
      </c>
      <c r="DS805" s="1859">
        <f t="shared" si="260"/>
        <v>0</v>
      </c>
      <c r="DT805" s="1859">
        <f t="shared" si="260"/>
        <v>0</v>
      </c>
      <c r="DU805" s="1859">
        <f t="shared" si="260"/>
        <v>0</v>
      </c>
      <c r="DV805" s="1859">
        <f t="shared" si="260"/>
        <v>0</v>
      </c>
      <c r="DW805" s="1859">
        <f t="shared" si="260"/>
        <v>0</v>
      </c>
      <c r="DX805" s="1859">
        <f t="shared" si="260"/>
        <v>0</v>
      </c>
      <c r="DY805" s="1859">
        <f t="shared" si="260"/>
        <v>0</v>
      </c>
      <c r="DZ805" s="1859">
        <f t="shared" si="260"/>
        <v>0</v>
      </c>
      <c r="EA805" s="1859">
        <f t="shared" si="260"/>
        <v>0</v>
      </c>
      <c r="EB805" s="1859">
        <f t="shared" si="260"/>
        <v>0</v>
      </c>
      <c r="EC805" s="1859">
        <f t="shared" si="260"/>
        <v>0</v>
      </c>
      <c r="ED805" s="1859">
        <f t="shared" si="260"/>
        <v>0</v>
      </c>
      <c r="EE805" s="1859">
        <f t="shared" si="260"/>
        <v>0</v>
      </c>
      <c r="EF805" s="1859">
        <f t="shared" si="260"/>
        <v>0</v>
      </c>
      <c r="EG805" s="1859">
        <f t="shared" si="260"/>
        <v>0</v>
      </c>
      <c r="EH805" s="1859">
        <f t="shared" si="260"/>
        <v>0</v>
      </c>
      <c r="EI805" s="1859">
        <f t="shared" si="260"/>
        <v>0</v>
      </c>
      <c r="EJ805" s="1859">
        <f t="shared" si="260"/>
        <v>0</v>
      </c>
      <c r="EK805" s="1859">
        <f t="shared" si="260"/>
        <v>0</v>
      </c>
      <c r="EL805" s="1859">
        <f t="shared" si="260"/>
        <v>0</v>
      </c>
      <c r="EM805" s="1859">
        <f t="shared" si="260"/>
        <v>0</v>
      </c>
      <c r="EN805" s="1859">
        <f t="shared" si="260"/>
        <v>0</v>
      </c>
      <c r="EO805" s="1859">
        <f t="shared" si="260"/>
        <v>0</v>
      </c>
      <c r="EP805" s="1859">
        <f t="shared" si="260"/>
        <v>0</v>
      </c>
      <c r="EQ805" s="1859">
        <f t="shared" si="260"/>
        <v>0</v>
      </c>
      <c r="ER805" s="1859">
        <f t="shared" si="260"/>
        <v>0</v>
      </c>
      <c r="ES805" s="1859">
        <f t="shared" si="260"/>
        <v>0</v>
      </c>
      <c r="ET805" s="1859">
        <f t="shared" si="260"/>
        <v>0</v>
      </c>
      <c r="EU805" s="1859">
        <f t="shared" ref="EU805:HF805" si="261">SUM(EU767:EU804)</f>
        <v>0</v>
      </c>
      <c r="EV805" s="1859">
        <f t="shared" si="261"/>
        <v>0</v>
      </c>
      <c r="EW805" s="1859">
        <f t="shared" si="261"/>
        <v>0</v>
      </c>
      <c r="EX805" s="1859">
        <f t="shared" si="261"/>
        <v>0</v>
      </c>
      <c r="EY805" s="1859">
        <f t="shared" si="261"/>
        <v>6</v>
      </c>
      <c r="EZ805" s="1859">
        <f t="shared" si="261"/>
        <v>2</v>
      </c>
      <c r="FA805" s="1859">
        <f t="shared" si="261"/>
        <v>0</v>
      </c>
      <c r="FB805" s="1859">
        <f t="shared" si="261"/>
        <v>0</v>
      </c>
      <c r="FC805" s="1859">
        <f t="shared" si="261"/>
        <v>0</v>
      </c>
      <c r="FD805" s="1859">
        <f t="shared" si="261"/>
        <v>0</v>
      </c>
      <c r="FE805" s="1859">
        <f t="shared" si="261"/>
        <v>0</v>
      </c>
      <c r="FF805" s="1859">
        <f t="shared" si="261"/>
        <v>0</v>
      </c>
      <c r="FG805" s="1859">
        <f t="shared" si="261"/>
        <v>0</v>
      </c>
      <c r="FH805" s="1859">
        <f t="shared" si="261"/>
        <v>0</v>
      </c>
      <c r="FI805" s="1859">
        <f t="shared" si="261"/>
        <v>0</v>
      </c>
      <c r="FJ805" s="1859">
        <f t="shared" si="261"/>
        <v>0</v>
      </c>
      <c r="FK805" s="1859">
        <f t="shared" si="261"/>
        <v>0</v>
      </c>
      <c r="FL805" s="1859">
        <f t="shared" si="261"/>
        <v>0</v>
      </c>
      <c r="FM805" s="1859">
        <f t="shared" si="261"/>
        <v>0</v>
      </c>
      <c r="FN805" s="1859">
        <f t="shared" si="261"/>
        <v>0</v>
      </c>
      <c r="FO805" s="1859">
        <f t="shared" si="261"/>
        <v>0</v>
      </c>
      <c r="FP805" s="1859">
        <f t="shared" si="261"/>
        <v>0</v>
      </c>
      <c r="FQ805" s="1859">
        <f t="shared" si="261"/>
        <v>0</v>
      </c>
      <c r="FR805" s="1859">
        <f t="shared" si="261"/>
        <v>0</v>
      </c>
      <c r="FS805" s="1859">
        <f t="shared" si="261"/>
        <v>0</v>
      </c>
      <c r="FT805" s="1859">
        <f t="shared" si="261"/>
        <v>0</v>
      </c>
      <c r="FU805" s="1859">
        <f t="shared" si="261"/>
        <v>0</v>
      </c>
      <c r="FV805" s="1859">
        <f t="shared" si="261"/>
        <v>0</v>
      </c>
      <c r="FW805" s="1859">
        <f t="shared" si="261"/>
        <v>0</v>
      </c>
      <c r="FX805" s="1859">
        <f t="shared" si="261"/>
        <v>24</v>
      </c>
      <c r="FY805" s="1859">
        <f t="shared" si="261"/>
        <v>18</v>
      </c>
      <c r="FZ805" s="1859">
        <f t="shared" si="261"/>
        <v>0</v>
      </c>
      <c r="GA805" s="1859">
        <f t="shared" si="261"/>
        <v>0</v>
      </c>
      <c r="GB805" s="1859">
        <f t="shared" si="261"/>
        <v>0</v>
      </c>
      <c r="GC805" s="1859">
        <f t="shared" si="261"/>
        <v>0</v>
      </c>
      <c r="GD805" s="1859">
        <f t="shared" si="261"/>
        <v>0</v>
      </c>
      <c r="GE805" s="1859">
        <f t="shared" si="261"/>
        <v>0</v>
      </c>
      <c r="GF805" s="1859">
        <f t="shared" si="261"/>
        <v>0</v>
      </c>
      <c r="GG805" s="1859">
        <f t="shared" si="261"/>
        <v>0</v>
      </c>
      <c r="GH805" s="1859">
        <f t="shared" si="261"/>
        <v>15</v>
      </c>
      <c r="GI805" s="1859">
        <f t="shared" si="261"/>
        <v>0</v>
      </c>
      <c r="GJ805" s="1859">
        <f t="shared" si="261"/>
        <v>0</v>
      </c>
      <c r="GK805" s="1859">
        <f t="shared" si="261"/>
        <v>0</v>
      </c>
      <c r="GL805" s="1859">
        <f t="shared" si="261"/>
        <v>0</v>
      </c>
      <c r="GM805" s="1859">
        <f t="shared" si="261"/>
        <v>0</v>
      </c>
      <c r="GN805" s="1859">
        <f t="shared" si="261"/>
        <v>0</v>
      </c>
      <c r="GO805" s="1859">
        <f t="shared" si="261"/>
        <v>0</v>
      </c>
      <c r="GP805" s="1859">
        <f t="shared" si="261"/>
        <v>0</v>
      </c>
      <c r="GQ805" s="1859">
        <f t="shared" si="261"/>
        <v>0</v>
      </c>
      <c r="GR805" s="1859">
        <f t="shared" si="261"/>
        <v>0</v>
      </c>
      <c r="GS805" s="1859">
        <f t="shared" si="261"/>
        <v>0</v>
      </c>
      <c r="GT805" s="1859">
        <f t="shared" si="261"/>
        <v>0</v>
      </c>
      <c r="GU805" s="1859">
        <f t="shared" si="261"/>
        <v>0</v>
      </c>
      <c r="GV805" s="1859">
        <f t="shared" si="261"/>
        <v>0</v>
      </c>
      <c r="GW805" s="1859">
        <f t="shared" si="261"/>
        <v>0</v>
      </c>
      <c r="GX805" s="1859">
        <f t="shared" si="261"/>
        <v>0</v>
      </c>
      <c r="GY805" s="1859">
        <f t="shared" si="261"/>
        <v>0</v>
      </c>
      <c r="GZ805" s="1859">
        <f t="shared" si="261"/>
        <v>0</v>
      </c>
      <c r="HA805" s="1859">
        <f t="shared" si="261"/>
        <v>0</v>
      </c>
      <c r="HB805" s="1859">
        <f t="shared" si="261"/>
        <v>0</v>
      </c>
      <c r="HC805" s="1859">
        <f t="shared" si="261"/>
        <v>0</v>
      </c>
      <c r="HD805" s="1859">
        <f t="shared" si="261"/>
        <v>0</v>
      </c>
      <c r="HE805" s="1859">
        <f t="shared" si="261"/>
        <v>0</v>
      </c>
      <c r="HF805" s="1859">
        <f t="shared" si="261"/>
        <v>0</v>
      </c>
      <c r="HG805" s="1859">
        <f t="shared" ref="HG805:JR805" si="262">SUM(HG767:HG804)</f>
        <v>0</v>
      </c>
      <c r="HH805" s="1859">
        <f t="shared" si="262"/>
        <v>0</v>
      </c>
      <c r="HI805" s="1859">
        <f t="shared" si="262"/>
        <v>0</v>
      </c>
      <c r="HJ805" s="1859">
        <f t="shared" si="262"/>
        <v>0</v>
      </c>
      <c r="HK805" s="1859">
        <f t="shared" si="262"/>
        <v>0</v>
      </c>
      <c r="HL805" s="1859">
        <f t="shared" si="262"/>
        <v>6</v>
      </c>
      <c r="HM805" s="1859">
        <f t="shared" si="262"/>
        <v>2</v>
      </c>
      <c r="HN805" s="1859">
        <f t="shared" si="262"/>
        <v>0</v>
      </c>
      <c r="HO805" s="1859">
        <f t="shared" si="262"/>
        <v>0</v>
      </c>
      <c r="HP805" s="1859">
        <f t="shared" si="262"/>
        <v>0</v>
      </c>
      <c r="HQ805" s="1859">
        <f t="shared" si="262"/>
        <v>0</v>
      </c>
      <c r="HR805" s="1859">
        <f t="shared" si="262"/>
        <v>0</v>
      </c>
      <c r="HS805" s="1859">
        <f t="shared" si="262"/>
        <v>0</v>
      </c>
      <c r="HT805" s="1859">
        <f t="shared" si="262"/>
        <v>0</v>
      </c>
      <c r="HU805" s="1859">
        <f t="shared" si="262"/>
        <v>0</v>
      </c>
      <c r="HV805" s="1859">
        <f t="shared" si="262"/>
        <v>0</v>
      </c>
      <c r="HW805" s="1859">
        <f t="shared" si="262"/>
        <v>0</v>
      </c>
      <c r="HX805" s="1859">
        <f t="shared" si="262"/>
        <v>0</v>
      </c>
      <c r="HY805" s="1859">
        <f t="shared" si="262"/>
        <v>0</v>
      </c>
      <c r="HZ805" s="1859">
        <f t="shared" si="262"/>
        <v>0</v>
      </c>
      <c r="IA805" s="1859">
        <f t="shared" si="262"/>
        <v>0</v>
      </c>
      <c r="IB805" s="1859">
        <f t="shared" si="262"/>
        <v>0</v>
      </c>
      <c r="IC805" s="1859">
        <f t="shared" si="262"/>
        <v>0</v>
      </c>
      <c r="ID805" s="1859">
        <f t="shared" si="262"/>
        <v>0</v>
      </c>
      <c r="IE805" s="1859">
        <f t="shared" si="262"/>
        <v>0</v>
      </c>
      <c r="IF805" s="1859">
        <f t="shared" si="262"/>
        <v>0</v>
      </c>
      <c r="IG805" s="1859">
        <f t="shared" si="262"/>
        <v>0</v>
      </c>
      <c r="IH805" s="1859">
        <f t="shared" si="262"/>
        <v>0</v>
      </c>
      <c r="II805" s="1859">
        <f t="shared" si="262"/>
        <v>0</v>
      </c>
      <c r="IJ805" s="1859">
        <f t="shared" si="262"/>
        <v>0</v>
      </c>
      <c r="IK805" s="1859">
        <f t="shared" si="262"/>
        <v>0</v>
      </c>
      <c r="IL805" s="1859">
        <f t="shared" si="262"/>
        <v>0</v>
      </c>
      <c r="IM805" s="1859">
        <f t="shared" si="262"/>
        <v>0</v>
      </c>
      <c r="IN805" s="1859">
        <f t="shared" si="262"/>
        <v>0</v>
      </c>
      <c r="IO805" s="1859">
        <f t="shared" si="262"/>
        <v>0</v>
      </c>
      <c r="IP805" s="1859">
        <f t="shared" si="262"/>
        <v>0</v>
      </c>
      <c r="IQ805" s="1859">
        <f t="shared" si="262"/>
        <v>0</v>
      </c>
      <c r="IR805" s="1859">
        <f t="shared" si="262"/>
        <v>0</v>
      </c>
      <c r="IS805" s="1859">
        <f t="shared" si="262"/>
        <v>0</v>
      </c>
      <c r="IT805" s="1859">
        <f t="shared" si="262"/>
        <v>0</v>
      </c>
      <c r="IU805" s="1859">
        <f t="shared" si="262"/>
        <v>0</v>
      </c>
      <c r="IV805" s="1859">
        <f t="shared" si="262"/>
        <v>0</v>
      </c>
      <c r="IW805" s="1859">
        <f t="shared" si="262"/>
        <v>0</v>
      </c>
      <c r="IX805" s="1859">
        <f t="shared" si="262"/>
        <v>0</v>
      </c>
      <c r="IY805" s="1859">
        <f t="shared" si="262"/>
        <v>0</v>
      </c>
      <c r="IZ805" s="1859">
        <f t="shared" si="262"/>
        <v>0</v>
      </c>
      <c r="JA805" s="1859">
        <f t="shared" si="262"/>
        <v>0</v>
      </c>
      <c r="JB805" s="1859">
        <f t="shared" si="262"/>
        <v>0</v>
      </c>
      <c r="JC805" s="1859">
        <f t="shared" si="262"/>
        <v>0</v>
      </c>
      <c r="JD805" s="1859">
        <f t="shared" si="262"/>
        <v>0</v>
      </c>
      <c r="JE805" s="1859">
        <f t="shared" si="262"/>
        <v>0</v>
      </c>
      <c r="JF805" s="1859">
        <f t="shared" si="262"/>
        <v>0</v>
      </c>
      <c r="JG805" s="1859">
        <f t="shared" si="262"/>
        <v>0</v>
      </c>
      <c r="JH805" s="1859">
        <f t="shared" si="262"/>
        <v>0</v>
      </c>
      <c r="JI805" s="1859">
        <f t="shared" si="262"/>
        <v>0</v>
      </c>
      <c r="JJ805" s="1859">
        <f t="shared" si="262"/>
        <v>21</v>
      </c>
      <c r="JK805" s="1859">
        <f t="shared" si="262"/>
        <v>2</v>
      </c>
      <c r="JL805" s="1859">
        <f t="shared" si="262"/>
        <v>0</v>
      </c>
      <c r="JM805" s="1859">
        <f t="shared" si="262"/>
        <v>0</v>
      </c>
      <c r="JN805" s="1859">
        <f t="shared" si="262"/>
        <v>0</v>
      </c>
      <c r="JO805" s="1859">
        <f t="shared" si="262"/>
        <v>24</v>
      </c>
      <c r="JP805" s="1859">
        <f t="shared" si="262"/>
        <v>18</v>
      </c>
      <c r="JQ805" s="1859">
        <f t="shared" si="262"/>
        <v>0</v>
      </c>
      <c r="JR805" s="1859">
        <f t="shared" si="262"/>
        <v>0</v>
      </c>
    </row>
    <row r="806" spans="1:278" ht="12" customHeight="1">
      <c r="B806" s="1629"/>
      <c r="D806" s="1860"/>
      <c r="E806" s="1856"/>
      <c r="F806" s="1856"/>
      <c r="G806" s="479"/>
      <c r="H806" s="479"/>
      <c r="I806" s="479"/>
      <c r="J806" s="479"/>
      <c r="K806" s="1855" t="s">
        <v>822</v>
      </c>
      <c r="L806" s="1856">
        <f>L805*12</f>
        <v>464856</v>
      </c>
      <c r="M806" s="1629"/>
      <c r="N806" s="1629"/>
      <c r="O806" s="1629"/>
      <c r="P806" s="1629"/>
      <c r="Q806" s="1629"/>
      <c r="R806" s="1629"/>
      <c r="S806" s="1629"/>
      <c r="T806" s="1629"/>
      <c r="U806" s="1629"/>
      <c r="V806" s="1859"/>
      <c r="W806" s="1859"/>
      <c r="X806" s="1859"/>
      <c r="Y806" s="1859"/>
      <c r="Z806" s="1859"/>
      <c r="AA806" s="1859"/>
      <c r="AB806" s="1859"/>
      <c r="AC806" s="1859"/>
      <c r="AD806" s="1859"/>
      <c r="AE806" s="1859"/>
      <c r="AF806" s="1859"/>
      <c r="AG806" s="1859"/>
      <c r="AH806" s="1859"/>
      <c r="AI806" s="1859"/>
      <c r="AJ806" s="1859"/>
      <c r="AK806" s="1859"/>
      <c r="AL806" s="1859"/>
      <c r="AM806" s="1859"/>
      <c r="AN806" s="1859"/>
      <c r="AO806" s="1859"/>
      <c r="AP806" s="1859"/>
      <c r="AQ806" s="1859"/>
      <c r="AR806" s="1859"/>
      <c r="AS806" s="1859"/>
      <c r="AT806" s="1859"/>
      <c r="AU806" s="1859"/>
      <c r="AV806" s="1859"/>
      <c r="AW806" s="1859"/>
      <c r="AX806" s="1859"/>
      <c r="AY806" s="1859"/>
      <c r="AZ806" s="1859"/>
      <c r="BA806" s="1859"/>
      <c r="BB806" s="1859"/>
      <c r="BC806" s="1859"/>
      <c r="BD806" s="1859"/>
      <c r="BE806" s="1859"/>
      <c r="BF806" s="1859"/>
      <c r="BG806" s="1859"/>
      <c r="BH806" s="1859"/>
      <c r="BI806" s="1859"/>
      <c r="BJ806" s="1859"/>
      <c r="BK806" s="1859"/>
      <c r="BL806" s="1859"/>
      <c r="BM806" s="1859"/>
      <c r="BN806" s="1859"/>
      <c r="BO806" s="1859"/>
      <c r="BP806" s="1859"/>
      <c r="BQ806" s="1859"/>
      <c r="BR806" s="1859"/>
      <c r="BS806" s="1859"/>
      <c r="BT806" s="1859"/>
      <c r="BU806" s="1859"/>
      <c r="BV806" s="1859"/>
      <c r="BW806" s="1859"/>
      <c r="BX806" s="1859"/>
      <c r="BY806" s="1859"/>
      <c r="BZ806" s="1859"/>
      <c r="CA806" s="1859"/>
      <c r="CB806" s="1859"/>
      <c r="CC806" s="1859"/>
      <c r="CD806" s="1859"/>
      <c r="CE806" s="1859"/>
      <c r="CF806" s="1859"/>
      <c r="CG806" s="1859"/>
      <c r="CH806" s="1859"/>
      <c r="CI806" s="1859"/>
      <c r="CJ806" s="1859"/>
      <c r="CK806" s="1859"/>
      <c r="CL806" s="1859"/>
      <c r="CM806" s="1859"/>
      <c r="CN806" s="1859"/>
      <c r="CO806" s="1859"/>
      <c r="CP806" s="1859"/>
      <c r="CQ806" s="1859"/>
      <c r="CR806" s="1859"/>
      <c r="CS806" s="1859"/>
      <c r="CT806" s="1859"/>
      <c r="CU806" s="1859"/>
      <c r="CV806" s="1859"/>
      <c r="CW806" s="1859"/>
      <c r="CX806" s="1859"/>
      <c r="CY806" s="1859"/>
      <c r="CZ806" s="1859"/>
      <c r="DA806" s="1859"/>
      <c r="DB806" s="1859"/>
      <c r="DC806" s="1859"/>
      <c r="DD806" s="1859"/>
      <c r="DE806" s="1859"/>
      <c r="DF806" s="1859"/>
      <c r="DG806" s="1859"/>
      <c r="DH806" s="1859"/>
      <c r="DI806" s="1859"/>
      <c r="DJ806" s="1859"/>
      <c r="DK806" s="1859"/>
      <c r="DL806" s="1859"/>
      <c r="DM806" s="1859"/>
      <c r="DN806" s="1859"/>
      <c r="DO806" s="1859"/>
      <c r="DP806" s="1859"/>
      <c r="DQ806" s="1859"/>
      <c r="DR806" s="1859"/>
      <c r="DS806" s="1859"/>
      <c r="DT806" s="1859"/>
      <c r="DU806" s="1859"/>
      <c r="DV806" s="1859"/>
      <c r="DW806" s="1859"/>
      <c r="DX806" s="1859"/>
      <c r="DY806" s="1859"/>
      <c r="DZ806" s="1859"/>
      <c r="EA806" s="1859"/>
      <c r="EB806" s="1859"/>
      <c r="EC806" s="1859"/>
      <c r="ED806" s="1859"/>
      <c r="EE806" s="1859"/>
      <c r="EF806" s="1859"/>
      <c r="EG806" s="1859"/>
      <c r="EH806" s="1859"/>
      <c r="EI806" s="1859"/>
      <c r="EJ806" s="1859"/>
      <c r="EK806" s="1859"/>
      <c r="EL806" s="1859"/>
      <c r="EM806" s="1859"/>
      <c r="EN806" s="1859"/>
      <c r="EO806" s="1859"/>
      <c r="EP806" s="1859"/>
      <c r="EQ806" s="1859"/>
      <c r="ER806" s="1859"/>
      <c r="ES806" s="1859"/>
      <c r="ET806" s="1859"/>
      <c r="EU806" s="1859"/>
      <c r="EV806" s="1859"/>
      <c r="EW806" s="1859"/>
      <c r="EX806" s="1859"/>
      <c r="EY806" s="1859"/>
      <c r="EZ806" s="1859"/>
      <c r="FA806" s="1859"/>
      <c r="FB806" s="1859"/>
      <c r="FC806" s="1859"/>
      <c r="FD806" s="1859"/>
      <c r="FE806" s="1859"/>
      <c r="FF806" s="1859"/>
      <c r="FG806" s="1859"/>
      <c r="FH806" s="1859"/>
      <c r="FI806" s="1859"/>
      <c r="FJ806" s="1859"/>
      <c r="FK806" s="1859"/>
      <c r="FL806" s="1859"/>
      <c r="FM806" s="1859"/>
      <c r="FN806" s="1859"/>
      <c r="FO806" s="1859"/>
      <c r="FP806" s="1859"/>
      <c r="FQ806" s="1859"/>
      <c r="FR806" s="1859"/>
      <c r="FS806" s="1859"/>
      <c r="FT806" s="1859"/>
      <c r="FU806" s="1859"/>
      <c r="FV806" s="1859"/>
      <c r="FW806" s="1859"/>
      <c r="FX806" s="1859"/>
      <c r="FY806" s="1859"/>
      <c r="FZ806" s="1859"/>
      <c r="GA806" s="1859"/>
      <c r="GB806" s="1859"/>
      <c r="GC806" s="1859"/>
      <c r="GD806" s="1859"/>
      <c r="GE806" s="1859"/>
      <c r="GF806" s="1859"/>
      <c r="GG806" s="1859"/>
      <c r="GH806" s="1859"/>
      <c r="GI806" s="1859"/>
      <c r="GJ806" s="1859"/>
      <c r="GK806" s="1859"/>
      <c r="GL806" s="1859"/>
      <c r="GM806" s="1859"/>
      <c r="GN806" s="1859"/>
      <c r="GO806" s="1859"/>
      <c r="GP806" s="1859"/>
      <c r="GQ806" s="1859"/>
      <c r="GR806" s="1859"/>
      <c r="GS806" s="1859"/>
      <c r="GT806" s="1859"/>
      <c r="GU806" s="1859"/>
      <c r="GV806" s="1859"/>
      <c r="GW806" s="1859"/>
      <c r="GX806" s="1859"/>
      <c r="GY806" s="1859"/>
      <c r="GZ806" s="1859"/>
      <c r="HA806" s="1859"/>
      <c r="HB806" s="1859"/>
      <c r="HC806" s="1859"/>
      <c r="HD806" s="1859"/>
      <c r="HE806" s="1859"/>
      <c r="HF806" s="1859"/>
      <c r="HG806" s="1859"/>
      <c r="HH806" s="1859"/>
      <c r="HI806" s="1859"/>
      <c r="HJ806" s="1859"/>
      <c r="HK806" s="1859"/>
      <c r="HL806" s="1859"/>
      <c r="HM806" s="1859"/>
      <c r="HN806" s="1859"/>
      <c r="HO806" s="1859"/>
      <c r="HP806" s="1859"/>
      <c r="HQ806" s="1859"/>
      <c r="HR806" s="1859"/>
      <c r="HS806" s="1859"/>
      <c r="HT806" s="1859"/>
      <c r="HU806" s="1859"/>
      <c r="HV806" s="1859"/>
      <c r="HW806" s="1859"/>
      <c r="HX806" s="1859"/>
      <c r="HY806" s="1859"/>
      <c r="HZ806" s="1859"/>
      <c r="IA806" s="1859"/>
      <c r="IB806" s="1859"/>
      <c r="IC806" s="1859"/>
      <c r="ID806" s="1859"/>
      <c r="IE806" s="1859"/>
      <c r="IF806" s="1859"/>
      <c r="IG806" s="1859"/>
      <c r="IH806" s="1859"/>
      <c r="II806" s="1859"/>
      <c r="IJ806" s="1859"/>
      <c r="IK806" s="1859"/>
      <c r="IL806" s="1859"/>
      <c r="IM806" s="1859"/>
      <c r="IN806" s="1859"/>
      <c r="IO806" s="1859"/>
      <c r="IP806" s="1859"/>
      <c r="IQ806" s="1859"/>
      <c r="IR806" s="1859"/>
      <c r="IS806" s="1859"/>
      <c r="IT806" s="1859"/>
      <c r="IU806" s="1859"/>
      <c r="IV806" s="1859"/>
      <c r="IW806" s="1859"/>
      <c r="IX806" s="1859"/>
      <c r="IY806" s="1859"/>
      <c r="IZ806" s="1859"/>
      <c r="JA806" s="1859"/>
      <c r="JB806" s="1859"/>
    </row>
    <row r="807" spans="1:278" ht="3" customHeight="1">
      <c r="A807" s="478"/>
      <c r="B807" s="1629"/>
      <c r="D807" s="1860"/>
      <c r="E807" s="1856"/>
      <c r="F807" s="1856"/>
      <c r="G807" s="479"/>
      <c r="H807" s="479"/>
      <c r="I807" s="479"/>
      <c r="J807" s="479"/>
      <c r="K807" s="1860"/>
      <c r="L807" s="1856"/>
      <c r="M807" s="1629"/>
      <c r="N807" s="1629"/>
      <c r="O807" s="1629"/>
      <c r="P807" s="1629"/>
      <c r="Q807" s="1629"/>
      <c r="R807" s="1629"/>
      <c r="S807" s="1629"/>
      <c r="T807" s="1629"/>
      <c r="U807" s="1629"/>
      <c r="V807" s="1859"/>
      <c r="W807" s="1859"/>
      <c r="X807" s="1859"/>
      <c r="Y807" s="1859"/>
      <c r="Z807" s="1859"/>
      <c r="AA807" s="1859"/>
      <c r="AB807" s="1859"/>
      <c r="AC807" s="1859"/>
      <c r="AD807" s="1859"/>
      <c r="AE807" s="1859"/>
      <c r="AF807" s="1859"/>
      <c r="AG807" s="1859"/>
      <c r="AH807" s="1859"/>
      <c r="AI807" s="1859"/>
      <c r="AJ807" s="1859"/>
      <c r="AK807" s="1859"/>
      <c r="AL807" s="1859"/>
      <c r="AM807" s="1859"/>
      <c r="AN807" s="1859"/>
      <c r="AO807" s="1859"/>
      <c r="AP807" s="1859"/>
      <c r="AQ807" s="1859"/>
      <c r="AR807" s="1859"/>
      <c r="AS807" s="1859"/>
      <c r="AT807" s="1859"/>
      <c r="AU807" s="1859"/>
      <c r="AV807" s="1859"/>
      <c r="AW807" s="1859"/>
      <c r="AX807" s="1859"/>
      <c r="AY807" s="1859"/>
      <c r="AZ807" s="1859"/>
      <c r="BA807" s="1859"/>
      <c r="BB807" s="1859"/>
      <c r="BC807" s="1859"/>
      <c r="BD807" s="1859"/>
      <c r="BE807" s="1859"/>
      <c r="BF807" s="1859"/>
      <c r="BG807" s="1859"/>
      <c r="BH807" s="1859"/>
      <c r="BI807" s="1859"/>
      <c r="BJ807" s="1859"/>
      <c r="BK807" s="1859"/>
      <c r="BL807" s="1859"/>
      <c r="BM807" s="1859"/>
      <c r="BN807" s="1859"/>
      <c r="BO807" s="1859"/>
      <c r="BP807" s="1859"/>
      <c r="BQ807" s="1859"/>
      <c r="BR807" s="1859"/>
      <c r="BS807" s="1859"/>
      <c r="BT807" s="1859"/>
      <c r="BU807" s="1859"/>
      <c r="BV807" s="1859"/>
      <c r="BW807" s="1859"/>
      <c r="BX807" s="1859"/>
      <c r="BY807" s="1859"/>
      <c r="BZ807" s="1859"/>
      <c r="CA807" s="1859"/>
      <c r="CB807" s="1859"/>
      <c r="CC807" s="1859"/>
      <c r="CD807" s="1859"/>
      <c r="CE807" s="1859"/>
      <c r="CF807" s="1859"/>
      <c r="CG807" s="1859"/>
      <c r="CH807" s="1859"/>
      <c r="CI807" s="1859"/>
      <c r="CJ807" s="1859"/>
      <c r="CK807" s="1859"/>
      <c r="CL807" s="1859"/>
      <c r="CM807" s="1859"/>
      <c r="CN807" s="1859"/>
      <c r="CO807" s="1859"/>
      <c r="CP807" s="1859"/>
      <c r="CQ807" s="1859"/>
      <c r="CR807" s="1859"/>
      <c r="CS807" s="1859"/>
      <c r="CT807" s="1859"/>
      <c r="CU807" s="1859"/>
      <c r="CV807" s="1859"/>
      <c r="CW807" s="1859"/>
      <c r="CX807" s="1859"/>
      <c r="CY807" s="1859"/>
      <c r="CZ807" s="1859"/>
      <c r="DA807" s="1859"/>
      <c r="DB807" s="1859"/>
      <c r="DC807" s="1859"/>
      <c r="DD807" s="1859"/>
      <c r="DE807" s="1859"/>
      <c r="DF807" s="1859"/>
      <c r="DG807" s="1859"/>
      <c r="DH807" s="1859"/>
      <c r="DI807" s="1859"/>
      <c r="DJ807" s="1859"/>
      <c r="DK807" s="1859"/>
      <c r="DL807" s="1859"/>
      <c r="DM807" s="1859"/>
      <c r="DN807" s="1859"/>
      <c r="DO807" s="1859"/>
      <c r="DP807" s="1859"/>
      <c r="DQ807" s="1859"/>
      <c r="DR807" s="1859"/>
      <c r="DS807" s="1859"/>
      <c r="DT807" s="1859"/>
      <c r="DU807" s="1859"/>
      <c r="DV807" s="1859"/>
      <c r="DW807" s="1859"/>
      <c r="DX807" s="1859"/>
      <c r="DY807" s="1859"/>
      <c r="DZ807" s="1859"/>
      <c r="EA807" s="1859"/>
      <c r="EB807" s="1859"/>
      <c r="EC807" s="1859"/>
      <c r="ED807" s="1859"/>
      <c r="EE807" s="1859"/>
      <c r="EF807" s="1859"/>
      <c r="EG807" s="1859"/>
      <c r="EH807" s="1859"/>
      <c r="EI807" s="1859"/>
      <c r="EJ807" s="1859"/>
      <c r="EK807" s="1859"/>
      <c r="EL807" s="1859"/>
      <c r="EM807" s="1859"/>
      <c r="EN807" s="1859"/>
      <c r="EO807" s="1859"/>
      <c r="EP807" s="1859"/>
      <c r="EQ807" s="1859"/>
      <c r="ER807" s="1859"/>
      <c r="ES807" s="1859"/>
      <c r="ET807" s="1859"/>
      <c r="EU807" s="1859"/>
      <c r="EV807" s="1859"/>
      <c r="EW807" s="1859"/>
      <c r="EX807" s="1859"/>
      <c r="EY807" s="1859"/>
      <c r="EZ807" s="1859"/>
      <c r="FA807" s="1859"/>
      <c r="FB807" s="1859"/>
      <c r="FC807" s="1859"/>
      <c r="FD807" s="1859"/>
      <c r="FE807" s="1859"/>
      <c r="FF807" s="1859"/>
      <c r="FG807" s="1859"/>
      <c r="FH807" s="1859"/>
      <c r="FI807" s="1859"/>
      <c r="FJ807" s="1859"/>
      <c r="FK807" s="1859"/>
      <c r="FL807" s="1859"/>
      <c r="FM807" s="1859"/>
      <c r="FN807" s="1859"/>
      <c r="FO807" s="1859"/>
      <c r="FP807" s="1859"/>
      <c r="FQ807" s="1859"/>
      <c r="FR807" s="1859"/>
      <c r="FS807" s="1859"/>
      <c r="FT807" s="1859"/>
      <c r="FU807" s="1859"/>
      <c r="FV807" s="1859"/>
      <c r="FW807" s="1859"/>
      <c r="FX807" s="1859"/>
      <c r="FY807" s="1859"/>
      <c r="FZ807" s="1859"/>
      <c r="GA807" s="1859"/>
      <c r="GB807" s="1859"/>
      <c r="GC807" s="1859"/>
      <c r="GD807" s="1859"/>
      <c r="GE807" s="1859"/>
      <c r="GF807" s="1859"/>
      <c r="GG807" s="1859"/>
      <c r="GH807" s="1859"/>
      <c r="GI807" s="1859"/>
      <c r="GJ807" s="1859"/>
      <c r="GK807" s="1859"/>
      <c r="GL807" s="1859"/>
      <c r="GM807" s="1859"/>
      <c r="GN807" s="1859"/>
      <c r="GO807" s="1859"/>
      <c r="GP807" s="1859"/>
      <c r="GQ807" s="1859"/>
      <c r="GR807" s="1859"/>
      <c r="GS807" s="1859"/>
      <c r="GT807" s="1859"/>
      <c r="GU807" s="1859"/>
      <c r="GV807" s="1859"/>
      <c r="GW807" s="1859"/>
      <c r="GX807" s="1859"/>
      <c r="GY807" s="1859"/>
      <c r="GZ807" s="1859"/>
      <c r="HA807" s="1859"/>
      <c r="HB807" s="1859"/>
      <c r="HC807" s="1859"/>
      <c r="HD807" s="1859"/>
      <c r="HE807" s="1859"/>
      <c r="HF807" s="1859"/>
      <c r="HG807" s="1859"/>
      <c r="HH807" s="1859"/>
      <c r="HI807" s="1859"/>
      <c r="HJ807" s="1859"/>
      <c r="HK807" s="1859"/>
      <c r="HL807" s="1859"/>
      <c r="HM807" s="1859"/>
      <c r="HN807" s="1859"/>
      <c r="HO807" s="1859"/>
      <c r="HP807" s="1859"/>
      <c r="HQ807" s="1859"/>
      <c r="HR807" s="1859"/>
      <c r="HS807" s="1859"/>
      <c r="HT807" s="1859"/>
      <c r="HU807" s="1859"/>
      <c r="HV807" s="1859"/>
      <c r="HW807" s="1859"/>
      <c r="HX807" s="1859"/>
      <c r="HY807" s="1859"/>
      <c r="HZ807" s="1859"/>
      <c r="IA807" s="1859"/>
      <c r="IB807" s="1859"/>
      <c r="IC807" s="1859"/>
      <c r="ID807" s="1859"/>
      <c r="IE807" s="1859"/>
      <c r="IF807" s="1859"/>
      <c r="IG807" s="1859"/>
      <c r="IH807" s="1859"/>
      <c r="II807" s="1859"/>
      <c r="IJ807" s="1859"/>
      <c r="IK807" s="1859"/>
      <c r="IL807" s="1859"/>
      <c r="IM807" s="1859"/>
      <c r="IN807" s="1859"/>
      <c r="IO807" s="1859"/>
      <c r="IP807" s="1859"/>
      <c r="IQ807" s="1859"/>
      <c r="IR807" s="1859"/>
      <c r="IS807" s="1859"/>
      <c r="IT807" s="1859"/>
      <c r="IU807" s="1859"/>
      <c r="IV807" s="1859"/>
      <c r="IW807" s="1859"/>
      <c r="IX807" s="1859"/>
      <c r="IY807" s="1859"/>
      <c r="IZ807" s="1859"/>
      <c r="JA807" s="1859"/>
      <c r="JB807" s="1859"/>
    </row>
    <row r="808" spans="1:278" ht="12" customHeight="1">
      <c r="A808" s="1861" t="s">
        <v>4779</v>
      </c>
      <c r="B808" s="1861"/>
      <c r="C808" s="1861"/>
      <c r="D808" s="1861"/>
      <c r="E808" s="1861"/>
      <c r="F808" s="1861"/>
      <c r="G808" s="1861"/>
      <c r="H808" s="1861"/>
      <c r="I808" s="1861"/>
      <c r="J808" s="1861"/>
      <c r="K808" s="1861"/>
      <c r="L808" s="1861"/>
      <c r="M808" s="1861"/>
      <c r="N808" s="1861"/>
      <c r="O808" s="1861"/>
      <c r="P808" s="1861"/>
      <c r="Q808" s="1862"/>
      <c r="R808" s="1629"/>
      <c r="S808" s="1629"/>
      <c r="T808" s="1629"/>
      <c r="U808" s="1629"/>
      <c r="V808" s="1859"/>
      <c r="W808" s="1859"/>
      <c r="X808" s="1859"/>
      <c r="Y808" s="1859"/>
      <c r="Z808" s="1859"/>
      <c r="AA808" s="1859"/>
      <c r="AB808" s="1859"/>
      <c r="AC808" s="1859"/>
      <c r="AD808" s="1859"/>
      <c r="AE808" s="1859"/>
      <c r="AF808" s="1859"/>
      <c r="AG808" s="1859"/>
      <c r="AH808" s="1859"/>
      <c r="AI808" s="1859"/>
      <c r="AJ808" s="1859"/>
      <c r="AK808" s="1859"/>
      <c r="AL808" s="1859"/>
      <c r="AM808" s="1859"/>
      <c r="AN808" s="1859"/>
      <c r="AO808" s="1859"/>
      <c r="AP808" s="1859"/>
      <c r="AQ808" s="1859"/>
      <c r="AR808" s="1859"/>
      <c r="AS808" s="1859"/>
      <c r="AT808" s="1859"/>
      <c r="AU808" s="1859"/>
      <c r="AV808" s="1859"/>
      <c r="AW808" s="1859"/>
      <c r="AX808" s="1859"/>
      <c r="AY808" s="1859"/>
      <c r="AZ808" s="1859"/>
      <c r="BA808" s="1859"/>
      <c r="BB808" s="1859"/>
      <c r="BC808" s="1859"/>
      <c r="BD808" s="1859"/>
      <c r="BE808" s="1859"/>
      <c r="BF808" s="1859"/>
      <c r="BG808" s="1859"/>
      <c r="BH808" s="1859"/>
      <c r="BI808" s="1859"/>
      <c r="BJ808" s="1859"/>
      <c r="BK808" s="1859"/>
      <c r="BL808" s="1859"/>
      <c r="BM808" s="1859"/>
      <c r="BN808" s="1859"/>
      <c r="BO808" s="1859"/>
      <c r="BP808" s="1859"/>
      <c r="BQ808" s="1859"/>
      <c r="BR808" s="1859"/>
      <c r="BS808" s="1859"/>
      <c r="BT808" s="1859"/>
      <c r="BU808" s="1859"/>
      <c r="BV808" s="1859"/>
      <c r="BW808" s="1859"/>
      <c r="BX808" s="1859"/>
      <c r="BY808" s="1859"/>
      <c r="BZ808" s="1859"/>
      <c r="CA808" s="1859"/>
      <c r="CB808" s="1859"/>
      <c r="CC808" s="1859"/>
      <c r="CD808" s="1859"/>
      <c r="CE808" s="1859"/>
      <c r="CF808" s="1859"/>
      <c r="CG808" s="1859"/>
      <c r="CH808" s="1859"/>
      <c r="CI808" s="1859"/>
      <c r="CJ808" s="1859"/>
      <c r="CK808" s="1859"/>
      <c r="CL808" s="1859"/>
      <c r="CM808" s="1859"/>
      <c r="CN808" s="1859"/>
      <c r="CO808" s="1859"/>
      <c r="CP808" s="1859"/>
      <c r="CQ808" s="1859"/>
      <c r="CR808" s="1859"/>
      <c r="CS808" s="1859"/>
      <c r="CT808" s="1859"/>
      <c r="CU808" s="1859"/>
      <c r="CV808" s="1859"/>
      <c r="CW808" s="1859"/>
      <c r="CX808" s="1859"/>
      <c r="CY808" s="1859"/>
      <c r="CZ808" s="1859"/>
      <c r="DA808" s="1859"/>
      <c r="DB808" s="1859"/>
      <c r="DC808" s="1859"/>
      <c r="DD808" s="1859"/>
      <c r="DE808" s="1859"/>
      <c r="DF808" s="1859"/>
      <c r="DG808" s="1859"/>
      <c r="DH808" s="1859"/>
      <c r="DI808" s="1859"/>
      <c r="DJ808" s="1859"/>
      <c r="DK808" s="1859"/>
      <c r="DL808" s="1859"/>
      <c r="DM808" s="1859"/>
      <c r="DN808" s="1859"/>
      <c r="DO808" s="1859"/>
      <c r="DP808" s="1859"/>
      <c r="DQ808" s="1859"/>
      <c r="DR808" s="1859"/>
      <c r="DS808" s="1859"/>
      <c r="DT808" s="1859"/>
      <c r="DU808" s="1859"/>
      <c r="DV808" s="1859"/>
      <c r="DW808" s="1859"/>
      <c r="DX808" s="1859"/>
      <c r="DY808" s="1859"/>
      <c r="DZ808" s="1859"/>
      <c r="EA808" s="1859"/>
      <c r="EB808" s="1859"/>
      <c r="EC808" s="1859"/>
      <c r="ED808" s="1859"/>
      <c r="EE808" s="1859"/>
      <c r="EF808" s="1859"/>
      <c r="EG808" s="1859"/>
      <c r="EH808" s="1859"/>
      <c r="EI808" s="1859"/>
      <c r="EJ808" s="1859"/>
      <c r="EK808" s="1859"/>
      <c r="EL808" s="1859"/>
      <c r="EM808" s="1859"/>
      <c r="EN808" s="1859"/>
      <c r="EO808" s="1859"/>
      <c r="EP808" s="1859"/>
      <c r="EQ808" s="1859"/>
      <c r="ER808" s="1859"/>
      <c r="ES808" s="1859"/>
      <c r="ET808" s="1859"/>
      <c r="EU808" s="1859"/>
      <c r="EV808" s="1859"/>
      <c r="EW808" s="1859"/>
      <c r="EX808" s="1859"/>
      <c r="EY808" s="1859"/>
      <c r="EZ808" s="1859"/>
      <c r="FA808" s="1859"/>
      <c r="FB808" s="1859"/>
      <c r="FC808" s="1859"/>
      <c r="FD808" s="1859"/>
      <c r="FE808" s="1859"/>
      <c r="FF808" s="1859"/>
      <c r="FG808" s="1859"/>
      <c r="FH808" s="1859"/>
      <c r="FI808" s="1859"/>
      <c r="FJ808" s="1859"/>
      <c r="FK808" s="1859"/>
      <c r="FL808" s="1859"/>
      <c r="FM808" s="1859"/>
      <c r="FN808" s="1859"/>
      <c r="FO808" s="1859"/>
      <c r="FP808" s="1859"/>
      <c r="FQ808" s="1859"/>
      <c r="FR808" s="1859"/>
      <c r="FS808" s="1859"/>
      <c r="FT808" s="1859"/>
      <c r="FU808" s="1859"/>
      <c r="FV808" s="1859"/>
      <c r="FW808" s="1859"/>
      <c r="FX808" s="1859"/>
      <c r="FY808" s="1859"/>
      <c r="FZ808" s="1859"/>
      <c r="GA808" s="1859"/>
      <c r="GB808" s="1859"/>
      <c r="GC808" s="1859"/>
      <c r="GD808" s="1859"/>
      <c r="GE808" s="1859"/>
      <c r="GF808" s="1859"/>
      <c r="GG808" s="1859"/>
      <c r="GH808" s="1859"/>
      <c r="GI808" s="1859"/>
      <c r="GJ808" s="1859"/>
      <c r="GK808" s="1859"/>
      <c r="GL808" s="1859"/>
      <c r="GM808" s="1859"/>
      <c r="GN808" s="1859"/>
      <c r="GO808" s="1859"/>
      <c r="GP808" s="1859"/>
      <c r="GQ808" s="1859"/>
      <c r="GR808" s="1859"/>
      <c r="GS808" s="1859"/>
      <c r="GT808" s="1859"/>
      <c r="GU808" s="1859"/>
      <c r="GV808" s="1859"/>
      <c r="GW808" s="1859"/>
      <c r="GX808" s="1859"/>
      <c r="GY808" s="1859"/>
      <c r="GZ808" s="1859"/>
      <c r="HA808" s="1859"/>
      <c r="HB808" s="1859"/>
      <c r="HC808" s="1859"/>
      <c r="HD808" s="1859"/>
      <c r="HE808" s="1859"/>
      <c r="HF808" s="1859"/>
      <c r="HG808" s="1859"/>
      <c r="HH808" s="1859"/>
      <c r="HI808" s="1859"/>
      <c r="HJ808" s="1859"/>
      <c r="HK808" s="1859"/>
      <c r="HL808" s="1859"/>
      <c r="HM808" s="1859"/>
      <c r="HN808" s="1859"/>
      <c r="HO808" s="1859"/>
      <c r="HP808" s="1859"/>
      <c r="HQ808" s="1859"/>
      <c r="HR808" s="1859"/>
      <c r="HS808" s="1859"/>
      <c r="HT808" s="1859"/>
      <c r="HU808" s="1859"/>
      <c r="HV808" s="1859"/>
      <c r="HW808" s="1859"/>
      <c r="HX808" s="1859"/>
      <c r="HY808" s="1859"/>
      <c r="HZ808" s="1859"/>
      <c r="IA808" s="1859"/>
      <c r="IB808" s="1859"/>
      <c r="IC808" s="1859"/>
      <c r="ID808" s="1859"/>
      <c r="IE808" s="1859"/>
      <c r="IF808" s="1859"/>
      <c r="IG808" s="1859"/>
      <c r="IH808" s="1859"/>
      <c r="II808" s="1859"/>
      <c r="IJ808" s="1859"/>
      <c r="IK808" s="1859"/>
      <c r="IL808" s="1859"/>
      <c r="IM808" s="1859"/>
      <c r="IN808" s="1859"/>
      <c r="IO808" s="1859"/>
      <c r="IP808" s="1859"/>
      <c r="IQ808" s="1859"/>
      <c r="IR808" s="1859"/>
      <c r="IS808" s="1859"/>
      <c r="IT808" s="1859"/>
      <c r="IU808" s="1859"/>
      <c r="IV808" s="1859"/>
      <c r="IW808" s="1859"/>
      <c r="IX808" s="1859"/>
      <c r="IY808" s="1859"/>
      <c r="IZ808" s="1859"/>
      <c r="JA808" s="1859"/>
      <c r="JB808" s="1859"/>
    </row>
    <row r="809" spans="1:278" ht="12" customHeight="1">
      <c r="A809" s="1861"/>
      <c r="B809" s="1861"/>
      <c r="C809" s="1861"/>
      <c r="D809" s="1861"/>
      <c r="E809" s="1861"/>
      <c r="F809" s="1861"/>
      <c r="G809" s="1861"/>
      <c r="H809" s="1861"/>
      <c r="I809" s="1861"/>
      <c r="J809" s="1861"/>
      <c r="K809" s="1861"/>
      <c r="L809" s="1861"/>
      <c r="M809" s="1861"/>
      <c r="N809" s="1861"/>
      <c r="O809" s="1861"/>
      <c r="P809" s="1861"/>
      <c r="Q809" s="1862"/>
      <c r="R809" s="1629"/>
      <c r="S809" s="1629"/>
      <c r="T809" s="1629"/>
      <c r="U809" s="1629"/>
      <c r="V809" s="1859"/>
      <c r="W809" s="1859"/>
      <c r="X809" s="1859"/>
      <c r="Y809" s="1859"/>
      <c r="Z809" s="1859"/>
      <c r="AA809" s="1859"/>
      <c r="AB809" s="1859"/>
      <c r="AC809" s="1859"/>
      <c r="AD809" s="1859"/>
      <c r="AE809" s="1859"/>
      <c r="AF809" s="1859"/>
      <c r="AG809" s="1859"/>
      <c r="AH809" s="1859"/>
      <c r="AI809" s="1859"/>
      <c r="AJ809" s="1859"/>
      <c r="AK809" s="1859"/>
      <c r="AL809" s="1859"/>
      <c r="AM809" s="1859"/>
      <c r="AN809" s="1859"/>
      <c r="AO809" s="1859"/>
      <c r="AP809" s="1859"/>
      <c r="AQ809" s="1859"/>
      <c r="AR809" s="1859"/>
      <c r="AS809" s="1859"/>
      <c r="AT809" s="1859"/>
      <c r="AU809" s="1859"/>
      <c r="AV809" s="1859"/>
      <c r="AW809" s="1859"/>
      <c r="AX809" s="1859"/>
      <c r="AY809" s="1859"/>
      <c r="AZ809" s="1859"/>
      <c r="BA809" s="1859"/>
      <c r="BB809" s="1859"/>
      <c r="BC809" s="1859"/>
      <c r="BD809" s="1859"/>
      <c r="BE809" s="1859"/>
      <c r="BF809" s="1859"/>
      <c r="BG809" s="1859"/>
      <c r="BH809" s="1859"/>
      <c r="BI809" s="1859"/>
      <c r="BJ809" s="1859"/>
      <c r="BK809" s="1859"/>
      <c r="BL809" s="1859"/>
      <c r="BM809" s="1859"/>
      <c r="BN809" s="1859"/>
      <c r="BO809" s="1859"/>
      <c r="BP809" s="1859"/>
      <c r="BQ809" s="1859"/>
      <c r="BR809" s="1859"/>
      <c r="BS809" s="1859"/>
      <c r="BT809" s="1859"/>
      <c r="BU809" s="1859"/>
      <c r="BV809" s="1859"/>
      <c r="BW809" s="1859"/>
      <c r="BX809" s="1859"/>
      <c r="BY809" s="1859"/>
      <c r="BZ809" s="1859"/>
      <c r="CA809" s="1859"/>
      <c r="CB809" s="1859"/>
      <c r="CC809" s="1859"/>
      <c r="CD809" s="1859"/>
      <c r="CE809" s="1859"/>
      <c r="CF809" s="1859"/>
      <c r="CG809" s="1859"/>
      <c r="CH809" s="1859"/>
      <c r="CI809" s="1859"/>
      <c r="CJ809" s="1859"/>
      <c r="CK809" s="1859"/>
      <c r="CL809" s="1859"/>
      <c r="CM809" s="1859"/>
      <c r="CN809" s="1859"/>
      <c r="CO809" s="1859"/>
      <c r="CP809" s="1859"/>
      <c r="CQ809" s="1859"/>
      <c r="CR809" s="1859"/>
      <c r="CS809" s="1859"/>
      <c r="CT809" s="1859"/>
      <c r="CU809" s="1859"/>
      <c r="CV809" s="1859"/>
      <c r="CW809" s="1859"/>
      <c r="CX809" s="1859"/>
      <c r="CY809" s="1859"/>
      <c r="CZ809" s="1859"/>
      <c r="DA809" s="1859"/>
      <c r="DB809" s="1859"/>
      <c r="DC809" s="1859"/>
      <c r="DD809" s="1859"/>
      <c r="DE809" s="1859"/>
      <c r="DF809" s="1859"/>
      <c r="DG809" s="1859"/>
      <c r="DH809" s="1859"/>
      <c r="DI809" s="1859"/>
      <c r="DJ809" s="1859"/>
      <c r="DK809" s="1859"/>
      <c r="DL809" s="1859"/>
      <c r="DM809" s="1859"/>
      <c r="DN809" s="1859"/>
      <c r="DO809" s="1859"/>
      <c r="DP809" s="1859"/>
      <c r="DQ809" s="1859"/>
      <c r="DR809" s="1859"/>
      <c r="DS809" s="1859"/>
      <c r="DT809" s="1859"/>
      <c r="DU809" s="1859"/>
      <c r="DV809" s="1859"/>
      <c r="DW809" s="1859"/>
      <c r="DX809" s="1859"/>
      <c r="DY809" s="1859"/>
      <c r="DZ809" s="1859"/>
      <c r="EA809" s="1859"/>
      <c r="EB809" s="1859"/>
      <c r="EC809" s="1859"/>
      <c r="ED809" s="1859"/>
      <c r="EE809" s="1859"/>
      <c r="EF809" s="1859"/>
      <c r="EG809" s="1859"/>
      <c r="EH809" s="1859"/>
      <c r="EI809" s="1859"/>
      <c r="EJ809" s="1859"/>
      <c r="EK809" s="1859"/>
      <c r="EL809" s="1859"/>
      <c r="EM809" s="1859"/>
      <c r="EN809" s="1859"/>
      <c r="EO809" s="1859"/>
      <c r="EP809" s="1859"/>
      <c r="EQ809" s="1859"/>
      <c r="ER809" s="1859"/>
      <c r="ES809" s="1859"/>
      <c r="ET809" s="1859"/>
      <c r="EU809" s="1859"/>
      <c r="EV809" s="1859"/>
      <c r="EW809" s="1859"/>
      <c r="EX809" s="1859"/>
      <c r="EY809" s="1859"/>
      <c r="EZ809" s="1859"/>
      <c r="FA809" s="1859"/>
      <c r="FB809" s="1859"/>
      <c r="FC809" s="1859"/>
      <c r="FD809" s="1859"/>
      <c r="FE809" s="1859"/>
      <c r="FF809" s="1859"/>
      <c r="FG809" s="1859"/>
      <c r="FH809" s="1859"/>
      <c r="FI809" s="1859"/>
      <c r="FJ809" s="1859"/>
      <c r="FK809" s="1859"/>
      <c r="FL809" s="1859"/>
      <c r="FM809" s="1859"/>
      <c r="FN809" s="1859"/>
      <c r="FO809" s="1859"/>
      <c r="FP809" s="1859"/>
      <c r="FQ809" s="1859"/>
      <c r="FR809" s="1859"/>
      <c r="FS809" s="1859"/>
      <c r="FT809" s="1859"/>
      <c r="FU809" s="1859"/>
      <c r="FV809" s="1859"/>
      <c r="FW809" s="1859"/>
      <c r="FX809" s="1859"/>
      <c r="FY809" s="1859"/>
      <c r="FZ809" s="1859"/>
      <c r="GA809" s="1859"/>
      <c r="GB809" s="1859"/>
      <c r="GC809" s="1859"/>
      <c r="GD809" s="1859"/>
      <c r="GE809" s="1859"/>
      <c r="GF809" s="1859"/>
      <c r="GG809" s="1859"/>
      <c r="GH809" s="1859"/>
      <c r="GI809" s="1859"/>
      <c r="GJ809" s="1859"/>
      <c r="GK809" s="1859"/>
      <c r="GL809" s="1859"/>
      <c r="GM809" s="1859"/>
      <c r="GN809" s="1859"/>
      <c r="GO809" s="1859"/>
      <c r="GP809" s="1859"/>
      <c r="GQ809" s="1859"/>
      <c r="GR809" s="1859"/>
      <c r="GS809" s="1859"/>
      <c r="GT809" s="1859"/>
      <c r="GU809" s="1859"/>
      <c r="GV809" s="1859"/>
      <c r="GW809" s="1859"/>
      <c r="GX809" s="1859"/>
      <c r="GY809" s="1859"/>
      <c r="GZ809" s="1859"/>
      <c r="HA809" s="1859"/>
      <c r="HB809" s="1859"/>
      <c r="HC809" s="1859"/>
      <c r="HD809" s="1859"/>
      <c r="HE809" s="1859"/>
      <c r="HF809" s="1859"/>
      <c r="HG809" s="1859"/>
      <c r="HH809" s="1859"/>
      <c r="HI809" s="1859"/>
      <c r="HJ809" s="1859"/>
      <c r="HK809" s="1859"/>
      <c r="HL809" s="1859"/>
      <c r="HM809" s="1859"/>
      <c r="HN809" s="1859"/>
      <c r="HO809" s="1859"/>
      <c r="HP809" s="1859"/>
      <c r="HQ809" s="1859"/>
      <c r="HR809" s="1859"/>
      <c r="HS809" s="1859"/>
      <c r="HT809" s="1859"/>
      <c r="HU809" s="1859"/>
      <c r="HV809" s="1859"/>
      <c r="HW809" s="1859"/>
      <c r="HX809" s="1859"/>
      <c r="HY809" s="1859"/>
      <c r="HZ809" s="1859"/>
      <c r="IA809" s="1859"/>
      <c r="IB809" s="1859"/>
      <c r="IC809" s="1859"/>
      <c r="ID809" s="1859"/>
      <c r="IE809" s="1859"/>
      <c r="IF809" s="1859"/>
      <c r="IG809" s="1859"/>
      <c r="IH809" s="1859"/>
      <c r="II809" s="1859"/>
      <c r="IJ809" s="1859"/>
      <c r="IK809" s="1859"/>
      <c r="IL809" s="1859"/>
      <c r="IM809" s="1859"/>
      <c r="IN809" s="1859"/>
      <c r="IO809" s="1859"/>
      <c r="IP809" s="1859"/>
      <c r="IQ809" s="1859"/>
      <c r="IR809" s="1859"/>
      <c r="IS809" s="1859"/>
      <c r="IT809" s="1859"/>
      <c r="IU809" s="1859"/>
      <c r="IV809" s="1859"/>
      <c r="IW809" s="1859"/>
      <c r="IX809" s="1859"/>
      <c r="IY809" s="1859"/>
      <c r="IZ809" s="1859"/>
      <c r="JA809" s="1859"/>
      <c r="JB809" s="1859"/>
    </row>
    <row r="810" spans="1:278" ht="14.45" customHeight="1">
      <c r="A810" s="1821" t="s">
        <v>748</v>
      </c>
      <c r="B810" s="1821" t="s">
        <v>539</v>
      </c>
      <c r="R810" s="1818" t="str">
        <f>B810</f>
        <v>UNIT SUMMARY</v>
      </c>
      <c r="S810" s="1818"/>
      <c r="T810" s="1818"/>
      <c r="U810" s="1818"/>
      <c r="AI810" s="1629"/>
      <c r="GT810" s="1824"/>
      <c r="GY810" s="1824"/>
      <c r="GZ810" s="1824"/>
      <c r="HA810" s="1824"/>
      <c r="HB810" s="1824"/>
      <c r="HC810" s="1824"/>
      <c r="HD810" s="1824"/>
      <c r="HE810" s="1824"/>
      <c r="HF810" s="1824"/>
      <c r="HG810" s="1824"/>
      <c r="HH810" s="1824"/>
      <c r="HI810" s="1824"/>
      <c r="HJ810" s="1824"/>
      <c r="HK810" s="1824"/>
      <c r="HL810" s="1824"/>
      <c r="HM810" s="1824"/>
      <c r="HN810" s="1824"/>
      <c r="HO810" s="1824"/>
      <c r="HP810" s="1824"/>
      <c r="HQ810" s="1824"/>
      <c r="HR810" s="1824"/>
      <c r="HS810" s="1824"/>
      <c r="HT810" s="1824"/>
      <c r="HU810" s="1824"/>
      <c r="HV810" s="1824"/>
      <c r="HW810" s="1824"/>
      <c r="HX810" s="1824"/>
      <c r="HY810" s="1824"/>
      <c r="HZ810" s="1824"/>
      <c r="IA810" s="1824"/>
      <c r="IB810" s="1824"/>
      <c r="IC810" s="1824"/>
      <c r="ID810" s="1824"/>
      <c r="IK810" s="1821"/>
      <c r="IL810" s="1821"/>
      <c r="JB810" s="1821"/>
    </row>
    <row r="811" spans="1:278" ht="3" customHeight="1">
      <c r="A811" s="1821"/>
      <c r="B811" s="1821"/>
      <c r="R811" s="1821"/>
      <c r="S811" s="1821"/>
      <c r="T811" s="1863"/>
      <c r="AI811" s="1629"/>
      <c r="GT811" s="1824"/>
      <c r="GY811" s="1824"/>
      <c r="GZ811" s="1824"/>
      <c r="HA811" s="1824"/>
      <c r="HB811" s="1824"/>
      <c r="HC811" s="1824"/>
      <c r="HD811" s="1824"/>
      <c r="HE811" s="1824"/>
      <c r="HF811" s="1824"/>
      <c r="HG811" s="1824"/>
      <c r="HH811" s="1824"/>
      <c r="HI811" s="1824"/>
      <c r="HJ811" s="1824"/>
      <c r="HK811" s="1824"/>
      <c r="HL811" s="1824"/>
      <c r="HM811" s="1824"/>
      <c r="HN811" s="1824"/>
      <c r="HO811" s="1824"/>
      <c r="HP811" s="1824"/>
      <c r="HQ811" s="1824"/>
      <c r="HR811" s="1824"/>
      <c r="HS811" s="1824"/>
      <c r="HT811" s="1824"/>
      <c r="HU811" s="1824"/>
      <c r="HV811" s="1824"/>
      <c r="HW811" s="1824"/>
      <c r="HX811" s="1824"/>
      <c r="HY811" s="1824"/>
      <c r="HZ811" s="1824"/>
      <c r="IA811" s="1824"/>
      <c r="IB811" s="1824"/>
      <c r="IC811" s="1824"/>
      <c r="ID811" s="1824"/>
      <c r="IK811" s="1821"/>
      <c r="IL811" s="1821"/>
      <c r="JB811" s="1821"/>
    </row>
    <row r="812" spans="1:278" ht="14.45" customHeight="1">
      <c r="A812" s="1821"/>
      <c r="B812" s="1821" t="s">
        <v>1146</v>
      </c>
      <c r="J812" s="1864" t="s">
        <v>573</v>
      </c>
      <c r="K812" s="1864" t="s">
        <v>540</v>
      </c>
      <c r="L812" s="1864" t="s">
        <v>541</v>
      </c>
      <c r="M812" s="1864" t="s">
        <v>542</v>
      </c>
      <c r="N812" s="1864" t="s">
        <v>543</v>
      </c>
      <c r="O812" s="1864" t="s">
        <v>544</v>
      </c>
      <c r="R812" s="1825" t="s">
        <v>1859</v>
      </c>
      <c r="S812" s="1825"/>
      <c r="T812" s="1863"/>
      <c r="AB812" s="1864"/>
      <c r="AC812" s="1864"/>
      <c r="AD812" s="1864"/>
      <c r="AE812" s="1864"/>
      <c r="AF812" s="1864"/>
      <c r="AG812" s="1864"/>
      <c r="AI812" s="1629"/>
      <c r="GT812" s="1824"/>
      <c r="GY812" s="1824"/>
      <c r="GZ812" s="1824"/>
      <c r="HA812" s="1824"/>
      <c r="HB812" s="1824"/>
      <c r="HC812" s="1824"/>
      <c r="HD812" s="1824"/>
      <c r="HE812" s="1824"/>
      <c r="HF812" s="1824"/>
      <c r="HG812" s="1824"/>
      <c r="HH812" s="1824"/>
      <c r="HI812" s="1824"/>
      <c r="HJ812" s="1824"/>
      <c r="HK812" s="1824"/>
      <c r="HL812" s="1824"/>
      <c r="HM812" s="1824"/>
      <c r="HN812" s="1824"/>
      <c r="HO812" s="1824"/>
      <c r="HP812" s="1824"/>
      <c r="HQ812" s="1824"/>
      <c r="HR812" s="1824"/>
      <c r="HS812" s="1824"/>
      <c r="HT812" s="1824"/>
      <c r="HU812" s="1824"/>
      <c r="HV812" s="1824"/>
      <c r="HW812" s="1824"/>
      <c r="HX812" s="1824"/>
      <c r="HY812" s="1824"/>
      <c r="HZ812" s="1824"/>
      <c r="IA812" s="1824"/>
      <c r="IB812" s="1824"/>
      <c r="IC812" s="1824"/>
      <c r="ID812" s="1824"/>
      <c r="IK812" s="1821"/>
      <c r="IL812" s="1821"/>
      <c r="JB812" s="1821"/>
    </row>
    <row r="813" spans="1:278" ht="12" customHeight="1">
      <c r="C813" s="1629" t="s">
        <v>1147</v>
      </c>
      <c r="D813" s="1629"/>
      <c r="E813" s="1629"/>
      <c r="F813" s="1629"/>
      <c r="H813" s="478" t="s">
        <v>1159</v>
      </c>
      <c r="J813" s="1865">
        <f>W805</f>
        <v>0</v>
      </c>
      <c r="K813" s="1865">
        <f>X805</f>
        <v>0</v>
      </c>
      <c r="L813" s="1865">
        <f>Y805</f>
        <v>28</v>
      </c>
      <c r="M813" s="1865">
        <f>Z805</f>
        <v>12</v>
      </c>
      <c r="N813" s="1865">
        <f>AA805</f>
        <v>0</v>
      </c>
      <c r="O813" s="1865">
        <f t="shared" ref="O813:O819" si="263">SUM(J813:N813)</f>
        <v>40</v>
      </c>
      <c r="P813" s="1792" t="s">
        <v>3696</v>
      </c>
      <c r="Q813" s="1866"/>
      <c r="R813" s="1775"/>
      <c r="S813" s="1775"/>
      <c r="T813" s="1775"/>
      <c r="U813" s="1775"/>
      <c r="V813" s="1775"/>
      <c r="W813" s="1629"/>
      <c r="Z813" s="1629"/>
      <c r="AA813" s="478"/>
      <c r="AB813" s="479"/>
      <c r="AC813" s="479"/>
      <c r="AD813" s="479"/>
      <c r="AE813" s="479"/>
      <c r="AF813" s="479"/>
      <c r="AG813" s="479"/>
      <c r="AH813" s="478"/>
      <c r="AI813" s="1629"/>
      <c r="GT813" s="1824"/>
      <c r="GY813" s="1824"/>
      <c r="GZ813" s="1824"/>
      <c r="HA813" s="1824"/>
      <c r="HB813" s="1824"/>
      <c r="HC813" s="1824"/>
      <c r="HD813" s="1824"/>
      <c r="HE813" s="1824"/>
      <c r="HF813" s="1824"/>
      <c r="HG813" s="1824"/>
      <c r="HH813" s="1824"/>
      <c r="HI813" s="1824"/>
      <c r="HJ813" s="1824"/>
      <c r="HK813" s="1824"/>
      <c r="HL813" s="1824"/>
      <c r="HM813" s="1824"/>
      <c r="HN813" s="1824"/>
      <c r="HO813" s="1824"/>
      <c r="HP813" s="1824"/>
      <c r="HQ813" s="1824"/>
      <c r="HR813" s="1824"/>
      <c r="HS813" s="1824"/>
      <c r="HT813" s="1824"/>
      <c r="HU813" s="1824"/>
      <c r="HV813" s="1824"/>
      <c r="HW813" s="1824"/>
      <c r="HX813" s="1824"/>
      <c r="HY813" s="1824"/>
      <c r="HZ813" s="1824"/>
      <c r="IA813" s="1824"/>
      <c r="IB813" s="1824"/>
      <c r="IC813" s="1824"/>
      <c r="ID813" s="1824"/>
      <c r="IK813" s="1821"/>
      <c r="IL813" s="1821"/>
      <c r="JB813" s="1821"/>
    </row>
    <row r="814" spans="1:278" ht="12" customHeight="1">
      <c r="A814" s="1867" t="s">
        <v>444</v>
      </c>
      <c r="B814" s="1867"/>
      <c r="C814" s="1818"/>
      <c r="D814" s="1629"/>
      <c r="E814" s="1629"/>
      <c r="F814" s="1629"/>
      <c r="H814" s="478" t="s">
        <v>119</v>
      </c>
      <c r="J814" s="1865">
        <f>AB805</f>
        <v>0</v>
      </c>
      <c r="K814" s="1865">
        <f>AC805</f>
        <v>0</v>
      </c>
      <c r="L814" s="1865">
        <f>AD805</f>
        <v>17</v>
      </c>
      <c r="M814" s="1865">
        <f>AE805</f>
        <v>8</v>
      </c>
      <c r="N814" s="1865">
        <f>AF805</f>
        <v>0</v>
      </c>
      <c r="O814" s="1865">
        <f t="shared" si="263"/>
        <v>25</v>
      </c>
      <c r="P814" s="1792"/>
      <c r="Q814" s="1866"/>
      <c r="R814" s="1775"/>
      <c r="S814" s="1775"/>
      <c r="T814" s="1775"/>
      <c r="U814" s="1775"/>
      <c r="V814" s="1775"/>
      <c r="W814" s="1818"/>
      <c r="Z814" s="1629"/>
      <c r="AA814" s="478"/>
      <c r="AB814" s="479"/>
      <c r="AC814" s="479"/>
      <c r="AD814" s="479"/>
      <c r="AE814" s="479"/>
      <c r="AF814" s="479"/>
      <c r="AG814" s="479"/>
      <c r="AH814" s="478"/>
      <c r="AI814" s="1629"/>
      <c r="GT814" s="1824"/>
      <c r="GY814" s="1824"/>
      <c r="GZ814" s="1824"/>
      <c r="HA814" s="1824"/>
      <c r="HB814" s="1824"/>
      <c r="HC814" s="1824"/>
      <c r="HD814" s="1824"/>
      <c r="HE814" s="1824"/>
      <c r="HF814" s="1824"/>
      <c r="HG814" s="1824"/>
      <c r="HH814" s="1824"/>
      <c r="HI814" s="1824"/>
      <c r="HJ814" s="1824"/>
      <c r="HK814" s="1824"/>
      <c r="HL814" s="1824"/>
      <c r="HM814" s="1824"/>
      <c r="HN814" s="1824"/>
      <c r="HO814" s="1824"/>
      <c r="HP814" s="1824"/>
      <c r="HQ814" s="1824"/>
      <c r="HR814" s="1824"/>
      <c r="HS814" s="1824"/>
      <c r="HT814" s="1824"/>
      <c r="HU814" s="1824"/>
      <c r="HV814" s="1824"/>
      <c r="HW814" s="1824"/>
      <c r="HX814" s="1824"/>
      <c r="HY814" s="1824"/>
      <c r="HZ814" s="1824"/>
      <c r="IA814" s="1824"/>
      <c r="IB814" s="1824"/>
      <c r="IC814" s="1824"/>
      <c r="ID814" s="1824"/>
      <c r="IK814" s="1821"/>
      <c r="IL814" s="1821"/>
      <c r="JB814" s="1821"/>
    </row>
    <row r="815" spans="1:278" ht="12" customHeight="1">
      <c r="A815" s="1867"/>
      <c r="B815" s="1867"/>
      <c r="C815" s="1818"/>
      <c r="D815" s="1629"/>
      <c r="E815" s="1629"/>
      <c r="F815" s="1629"/>
      <c r="H815" s="478" t="s">
        <v>544</v>
      </c>
      <c r="J815" s="1865">
        <f>SUM(J813:J814)</f>
        <v>0</v>
      </c>
      <c r="K815" s="1865">
        <f>SUM(K813:K814)</f>
        <v>0</v>
      </c>
      <c r="L815" s="1865">
        <f>SUM(L813:L814)</f>
        <v>45</v>
      </c>
      <c r="M815" s="1865">
        <f>SUM(M813:M814)</f>
        <v>20</v>
      </c>
      <c r="N815" s="1865">
        <f>SUM(N813:N814)</f>
        <v>0</v>
      </c>
      <c r="O815" s="1865">
        <f t="shared" si="263"/>
        <v>65</v>
      </c>
      <c r="P815" s="1792"/>
      <c r="R815" s="1775"/>
      <c r="S815" s="1775"/>
      <c r="T815" s="1775"/>
      <c r="U815" s="1775"/>
      <c r="V815" s="1775"/>
      <c r="W815" s="1818"/>
      <c r="Z815" s="1629"/>
      <c r="AA815" s="478"/>
      <c r="AB815" s="479"/>
      <c r="AC815" s="479"/>
      <c r="AD815" s="479"/>
      <c r="AE815" s="479"/>
      <c r="AF815" s="479"/>
      <c r="AG815" s="479"/>
      <c r="AH815" s="478"/>
      <c r="AI815" s="1629"/>
      <c r="GT815" s="1824"/>
      <c r="GY815" s="1824"/>
      <c r="GZ815" s="1824"/>
      <c r="HA815" s="1824"/>
      <c r="HB815" s="1824"/>
      <c r="HC815" s="1824"/>
      <c r="HD815" s="1824"/>
      <c r="HE815" s="1824"/>
      <c r="HF815" s="1824"/>
      <c r="HG815" s="1824"/>
      <c r="HH815" s="1824"/>
      <c r="HI815" s="1824"/>
      <c r="HJ815" s="1824"/>
      <c r="HK815" s="1824"/>
      <c r="HL815" s="1824"/>
      <c r="HM815" s="1824"/>
      <c r="HN815" s="1824"/>
      <c r="HO815" s="1824"/>
      <c r="HP815" s="1824"/>
      <c r="HQ815" s="1824"/>
      <c r="HR815" s="1824"/>
      <c r="HS815" s="1824"/>
      <c r="HT815" s="1824"/>
      <c r="HU815" s="1824"/>
      <c r="HV815" s="1824"/>
      <c r="HW815" s="1824"/>
      <c r="HX815" s="1824"/>
      <c r="HY815" s="1824"/>
      <c r="HZ815" s="1824"/>
      <c r="IA815" s="1824"/>
      <c r="IB815" s="1824"/>
      <c r="IC815" s="1824"/>
      <c r="ID815" s="1824"/>
      <c r="IK815" s="1821"/>
      <c r="IL815" s="1821"/>
      <c r="JB815" s="1821"/>
    </row>
    <row r="816" spans="1:278" ht="12" customHeight="1">
      <c r="A816" s="1867"/>
      <c r="B816" s="1867"/>
      <c r="C816" s="1629" t="s">
        <v>305</v>
      </c>
      <c r="D816" s="1629"/>
      <c r="E816" s="1629"/>
      <c r="F816" s="1629"/>
      <c r="H816" s="478"/>
      <c r="J816" s="1865">
        <f>AL805</f>
        <v>0</v>
      </c>
      <c r="K816" s="1865">
        <f>AM805</f>
        <v>0</v>
      </c>
      <c r="L816" s="1865">
        <f>AN805</f>
        <v>0</v>
      </c>
      <c r="M816" s="1865">
        <f>AO805</f>
        <v>0</v>
      </c>
      <c r="N816" s="1865">
        <f>AP805</f>
        <v>0</v>
      </c>
      <c r="O816" s="1865">
        <f t="shared" si="263"/>
        <v>0</v>
      </c>
      <c r="R816" s="1775"/>
      <c r="S816" s="1775"/>
      <c r="T816" s="1775"/>
      <c r="U816" s="1775"/>
      <c r="V816" s="1775"/>
      <c r="W816" s="1629"/>
      <c r="Z816" s="1629"/>
      <c r="AA816" s="478"/>
      <c r="AB816" s="479"/>
      <c r="AC816" s="479"/>
      <c r="AD816" s="479"/>
      <c r="AE816" s="479"/>
      <c r="AF816" s="479"/>
      <c r="AG816" s="479"/>
      <c r="AH816" s="1156"/>
      <c r="AI816" s="1629"/>
      <c r="GT816" s="1824"/>
      <c r="GY816" s="1824"/>
      <c r="GZ816" s="1824"/>
      <c r="HA816" s="1824"/>
      <c r="HB816" s="1824"/>
      <c r="HC816" s="1824"/>
      <c r="HD816" s="1824"/>
      <c r="HE816" s="1824"/>
      <c r="HF816" s="1824"/>
      <c r="HG816" s="1824"/>
      <c r="HH816" s="1824"/>
      <c r="HI816" s="1824"/>
      <c r="HJ816" s="1824"/>
      <c r="HK816" s="1824"/>
      <c r="HL816" s="1824"/>
      <c r="HM816" s="1824"/>
      <c r="HN816" s="1824"/>
      <c r="HO816" s="1824"/>
      <c r="HP816" s="1824"/>
      <c r="HQ816" s="1824"/>
      <c r="HR816" s="1824"/>
      <c r="HS816" s="1824"/>
      <c r="HT816" s="1824"/>
      <c r="HU816" s="1824"/>
      <c r="HV816" s="1824"/>
      <c r="HW816" s="1824"/>
      <c r="HX816" s="1824"/>
      <c r="HY816" s="1824"/>
      <c r="HZ816" s="1824"/>
      <c r="IA816" s="1824"/>
      <c r="IB816" s="1824"/>
      <c r="IC816" s="1824"/>
      <c r="ID816" s="1824"/>
      <c r="IK816" s="1821"/>
      <c r="IL816" s="1821"/>
      <c r="JB816" s="1821"/>
    </row>
    <row r="817" spans="1:262" ht="12" customHeight="1">
      <c r="A817" s="1867"/>
      <c r="B817" s="1867"/>
      <c r="C817" s="1629" t="s">
        <v>1148</v>
      </c>
      <c r="D817" s="1629"/>
      <c r="E817" s="1629"/>
      <c r="F817" s="1629"/>
      <c r="H817" s="478"/>
      <c r="J817" s="1865">
        <f>SUM(J815:J816)</f>
        <v>0</v>
      </c>
      <c r="K817" s="1865">
        <f>SUM(K815:K816)</f>
        <v>0</v>
      </c>
      <c r="L817" s="1865">
        <f>SUM(L815:L816)</f>
        <v>45</v>
      </c>
      <c r="M817" s="1865">
        <f>SUM(M815:M816)</f>
        <v>20</v>
      </c>
      <c r="N817" s="1865">
        <f>SUM(N815:N816)</f>
        <v>0</v>
      </c>
      <c r="O817" s="1865">
        <f t="shared" si="263"/>
        <v>65</v>
      </c>
      <c r="R817" s="1775"/>
      <c r="S817" s="1775"/>
      <c r="T817" s="1775"/>
      <c r="U817" s="1775"/>
      <c r="V817" s="1775"/>
      <c r="W817" s="1629"/>
      <c r="Z817" s="1629"/>
      <c r="AA817" s="478"/>
      <c r="AB817" s="479"/>
      <c r="AC817" s="479"/>
      <c r="AD817" s="479"/>
      <c r="AE817" s="479"/>
      <c r="AF817" s="479"/>
      <c r="AG817" s="479"/>
      <c r="AH817" s="1156"/>
      <c r="AI817" s="1629"/>
      <c r="GT817" s="1824"/>
      <c r="GY817" s="1824"/>
      <c r="GZ817" s="1824"/>
      <c r="HA817" s="1824"/>
      <c r="HB817" s="1824"/>
      <c r="HC817" s="1824"/>
      <c r="HD817" s="1824"/>
      <c r="HE817" s="1824"/>
      <c r="HF817" s="1824"/>
      <c r="HG817" s="1824"/>
      <c r="HH817" s="1824"/>
      <c r="HI817" s="1824"/>
      <c r="HJ817" s="1824"/>
      <c r="HK817" s="1824"/>
      <c r="HL817" s="1824"/>
      <c r="HM817" s="1824"/>
      <c r="HN817" s="1824"/>
      <c r="HO817" s="1824"/>
      <c r="HP817" s="1824"/>
      <c r="HQ817" s="1824"/>
      <c r="HR817" s="1824"/>
      <c r="HS817" s="1824"/>
      <c r="HT817" s="1824"/>
      <c r="HU817" s="1824"/>
      <c r="HV817" s="1824"/>
      <c r="HW817" s="1824"/>
      <c r="HX817" s="1824"/>
      <c r="HY817" s="1824"/>
      <c r="HZ817" s="1824"/>
      <c r="IA817" s="1824"/>
      <c r="IB817" s="1824"/>
      <c r="IC817" s="1824"/>
      <c r="ID817" s="1824"/>
      <c r="IK817" s="1821"/>
      <c r="IL817" s="1821"/>
      <c r="JB817" s="1821"/>
    </row>
    <row r="818" spans="1:262" ht="12" customHeight="1">
      <c r="A818" s="1867"/>
      <c r="B818" s="1867"/>
      <c r="C818" s="1629" t="s">
        <v>2528</v>
      </c>
      <c r="D818" s="1629"/>
      <c r="E818" s="1629"/>
      <c r="F818" s="1629"/>
      <c r="H818" s="478"/>
      <c r="J818" s="1865">
        <f>BU805</f>
        <v>0</v>
      </c>
      <c r="K818" s="1865">
        <f>BV805</f>
        <v>0</v>
      </c>
      <c r="L818" s="1865">
        <f>BW805</f>
        <v>0</v>
      </c>
      <c r="M818" s="1865">
        <f>BX805</f>
        <v>0</v>
      </c>
      <c r="N818" s="1865">
        <f>BY805</f>
        <v>0</v>
      </c>
      <c r="O818" s="1865">
        <f t="shared" si="263"/>
        <v>0</v>
      </c>
      <c r="P818" s="1631" t="s">
        <v>3697</v>
      </c>
      <c r="R818" s="1775"/>
      <c r="S818" s="1775"/>
      <c r="T818" s="1775"/>
      <c r="U818" s="1775"/>
      <c r="V818" s="1775"/>
      <c r="W818" s="1629"/>
      <c r="Z818" s="1629"/>
      <c r="AA818" s="478"/>
      <c r="AB818" s="479"/>
      <c r="AC818" s="479"/>
      <c r="AD818" s="479"/>
      <c r="AE818" s="479"/>
      <c r="AF818" s="479"/>
      <c r="AG818" s="479"/>
      <c r="AH818" s="478"/>
      <c r="AI818" s="1629"/>
      <c r="GT818" s="1824"/>
      <c r="GY818" s="1824"/>
      <c r="GZ818" s="1824"/>
      <c r="HA818" s="1824"/>
      <c r="HB818" s="1824"/>
      <c r="HC818" s="1824"/>
      <c r="HD818" s="1824"/>
      <c r="HE818" s="1824"/>
      <c r="HF818" s="1824"/>
      <c r="HG818" s="1824"/>
      <c r="HH818" s="1824"/>
      <c r="HI818" s="1824"/>
      <c r="HJ818" s="1824"/>
      <c r="HK818" s="1824"/>
      <c r="HL818" s="1824"/>
      <c r="HM818" s="1824"/>
      <c r="HN818" s="1824"/>
      <c r="HO818" s="1824"/>
      <c r="HP818" s="1824"/>
      <c r="HQ818" s="1824"/>
      <c r="HR818" s="1824"/>
      <c r="HS818" s="1824"/>
      <c r="HT818" s="1824"/>
      <c r="HU818" s="1824"/>
      <c r="HV818" s="1824"/>
      <c r="HW818" s="1824"/>
      <c r="HX818" s="1824"/>
      <c r="HY818" s="1824"/>
      <c r="HZ818" s="1824"/>
      <c r="IA818" s="1824"/>
      <c r="IB818" s="1824"/>
      <c r="IC818" s="1824"/>
      <c r="ID818" s="1824"/>
      <c r="IK818" s="1821"/>
      <c r="IL818" s="1821"/>
      <c r="JB818" s="1821"/>
    </row>
    <row r="819" spans="1:262" ht="12" customHeight="1">
      <c r="A819" s="1867"/>
      <c r="B819" s="1867"/>
      <c r="C819" s="1629" t="s">
        <v>544</v>
      </c>
      <c r="D819" s="1629"/>
      <c r="E819" s="1629"/>
      <c r="F819" s="1629"/>
      <c r="H819" s="478"/>
      <c r="J819" s="1865">
        <f>SUM(J817:J818)</f>
        <v>0</v>
      </c>
      <c r="K819" s="1865">
        <f>SUM(K817:K818)</f>
        <v>0</v>
      </c>
      <c r="L819" s="1865">
        <f>SUM(L817:L818)</f>
        <v>45</v>
      </c>
      <c r="M819" s="1865">
        <f>SUM(M817:M818)</f>
        <v>20</v>
      </c>
      <c r="N819" s="1865">
        <f>SUM(N817:N818)</f>
        <v>0</v>
      </c>
      <c r="O819" s="1865">
        <f t="shared" si="263"/>
        <v>65</v>
      </c>
      <c r="R819" s="1775"/>
      <c r="S819" s="1775"/>
      <c r="T819" s="1775"/>
      <c r="U819" s="1775"/>
      <c r="V819" s="1775"/>
      <c r="W819" s="1629"/>
      <c r="Z819" s="1629"/>
      <c r="AA819" s="478"/>
      <c r="AB819" s="479"/>
      <c r="AC819" s="479"/>
      <c r="AD819" s="479"/>
      <c r="AE819" s="479"/>
      <c r="AF819" s="479"/>
      <c r="AG819" s="479"/>
      <c r="AI819" s="1629"/>
      <c r="GT819" s="1824"/>
      <c r="GY819" s="1824"/>
      <c r="GZ819" s="1824"/>
      <c r="HA819" s="1824"/>
      <c r="HB819" s="1824"/>
      <c r="HC819" s="1824"/>
      <c r="HD819" s="1824"/>
      <c r="HE819" s="1824"/>
      <c r="HF819" s="1824"/>
      <c r="HG819" s="1824"/>
      <c r="HH819" s="1824"/>
      <c r="HI819" s="1824"/>
      <c r="HJ819" s="1824"/>
      <c r="HK819" s="1824"/>
      <c r="HL819" s="1824"/>
      <c r="HM819" s="1824"/>
      <c r="HN819" s="1824"/>
      <c r="HO819" s="1824"/>
      <c r="HP819" s="1824"/>
      <c r="HQ819" s="1824"/>
      <c r="HR819" s="1824"/>
      <c r="HS819" s="1824"/>
      <c r="HT819" s="1824"/>
      <c r="HU819" s="1824"/>
      <c r="HV819" s="1824"/>
      <c r="HW819" s="1824"/>
      <c r="HX819" s="1824"/>
      <c r="HY819" s="1824"/>
      <c r="HZ819" s="1824"/>
      <c r="IA819" s="1824"/>
      <c r="IB819" s="1824"/>
      <c r="IC819" s="1824"/>
      <c r="ID819" s="1824"/>
      <c r="IK819" s="1821"/>
      <c r="IL819" s="1821"/>
      <c r="JB819" s="1821"/>
    </row>
    <row r="820" spans="1:262" ht="9" customHeight="1">
      <c r="A820" s="1867"/>
      <c r="B820" s="1867"/>
      <c r="C820" s="1629"/>
      <c r="D820" s="1629"/>
      <c r="E820" s="1629"/>
      <c r="F820" s="1629"/>
      <c r="H820" s="478"/>
      <c r="J820" s="1868"/>
      <c r="K820" s="1868"/>
      <c r="L820" s="1868"/>
      <c r="M820" s="1868"/>
      <c r="N820" s="1868"/>
      <c r="O820" s="1868"/>
      <c r="R820" s="1632" t="str">
        <f>C821</f>
        <v>PBRA-Assisted</v>
      </c>
      <c r="T820" s="1869"/>
      <c r="W820" s="1629"/>
      <c r="Z820" s="1629"/>
      <c r="AA820" s="478"/>
      <c r="AB820" s="1629"/>
      <c r="AC820" s="1629"/>
      <c r="AD820" s="1629"/>
      <c r="AE820" s="1629"/>
      <c r="AF820" s="1629"/>
      <c r="AG820" s="1629"/>
      <c r="AI820" s="1629"/>
      <c r="GT820" s="1824"/>
      <c r="GY820" s="1824"/>
      <c r="GZ820" s="1824"/>
      <c r="HA820" s="1824"/>
      <c r="HB820" s="1824"/>
      <c r="HC820" s="1824"/>
      <c r="HD820" s="1824"/>
      <c r="HE820" s="1824"/>
      <c r="HF820" s="1824"/>
      <c r="HG820" s="1824"/>
      <c r="HH820" s="1824"/>
      <c r="HI820" s="1824"/>
      <c r="HJ820" s="1824"/>
      <c r="HK820" s="1824"/>
      <c r="HL820" s="1824"/>
      <c r="HM820" s="1824"/>
      <c r="HN820" s="1824"/>
      <c r="HO820" s="1824"/>
      <c r="HP820" s="1824"/>
      <c r="HQ820" s="1824"/>
      <c r="HR820" s="1824"/>
      <c r="HS820" s="1824"/>
      <c r="HT820" s="1824"/>
      <c r="HU820" s="1824"/>
      <c r="HV820" s="1824"/>
      <c r="HW820" s="1824"/>
      <c r="HX820" s="1824"/>
      <c r="HY820" s="1824"/>
      <c r="HZ820" s="1824"/>
      <c r="IA820" s="1824"/>
      <c r="IB820" s="1824"/>
      <c r="IC820" s="1824"/>
      <c r="ID820" s="1824"/>
      <c r="IK820" s="1821"/>
      <c r="IL820" s="1821"/>
      <c r="JB820" s="1821"/>
    </row>
    <row r="821" spans="1:262" ht="12" customHeight="1">
      <c r="A821" s="1867"/>
      <c r="B821" s="1867"/>
      <c r="C821" s="1629" t="s">
        <v>943</v>
      </c>
      <c r="D821" s="1629"/>
      <c r="E821" s="1830"/>
      <c r="F821" s="1629"/>
      <c r="H821" s="478" t="s">
        <v>1159</v>
      </c>
      <c r="J821" s="1865">
        <f>BA805</f>
        <v>0</v>
      </c>
      <c r="K821" s="1865">
        <f>BB805</f>
        <v>0</v>
      </c>
      <c r="L821" s="1865">
        <f>BC805</f>
        <v>0</v>
      </c>
      <c r="M821" s="1865">
        <f>BD805</f>
        <v>0</v>
      </c>
      <c r="N821" s="1865">
        <f>BE805</f>
        <v>0</v>
      </c>
      <c r="O821" s="1865">
        <f>SUM(J821:N821)</f>
        <v>0</v>
      </c>
      <c r="R821" s="1775"/>
      <c r="S821" s="1775"/>
      <c r="T821" s="1775"/>
      <c r="U821" s="1775"/>
      <c r="V821" s="1775"/>
      <c r="W821" s="1629"/>
      <c r="Z821" s="1629"/>
      <c r="AA821" s="478"/>
      <c r="AB821" s="479"/>
      <c r="AC821" s="479"/>
      <c r="AD821" s="479"/>
      <c r="AE821" s="479"/>
      <c r="AF821" s="479"/>
      <c r="AG821" s="479"/>
      <c r="AH821" s="478"/>
      <c r="AI821" s="1629"/>
      <c r="GT821" s="1824"/>
      <c r="GY821" s="1824"/>
      <c r="GZ821" s="1824"/>
      <c r="HA821" s="1824"/>
      <c r="HB821" s="1824"/>
      <c r="HC821" s="1824"/>
      <c r="HD821" s="1824"/>
      <c r="HE821" s="1824"/>
      <c r="HF821" s="1824"/>
      <c r="HG821" s="1824"/>
      <c r="HH821" s="1824"/>
      <c r="HI821" s="1824"/>
      <c r="HJ821" s="1824"/>
      <c r="HK821" s="1824"/>
      <c r="HL821" s="1824"/>
      <c r="HM821" s="1824"/>
      <c r="HN821" s="1824"/>
      <c r="HO821" s="1824"/>
      <c r="HP821" s="1824"/>
      <c r="HQ821" s="1824"/>
      <c r="HR821" s="1824"/>
      <c r="HS821" s="1824"/>
      <c r="HT821" s="1824"/>
      <c r="HU821" s="1824"/>
      <c r="HV821" s="1824"/>
      <c r="HW821" s="1824"/>
      <c r="HX821" s="1824"/>
      <c r="HY821" s="1824"/>
      <c r="HZ821" s="1824"/>
      <c r="IA821" s="1824"/>
      <c r="IB821" s="1824"/>
      <c r="IC821" s="1824"/>
      <c r="ID821" s="1824"/>
      <c r="IK821" s="1821"/>
      <c r="IL821" s="1821"/>
      <c r="JB821" s="1821"/>
    </row>
    <row r="822" spans="1:262" ht="12" customHeight="1">
      <c r="A822" s="1867"/>
      <c r="B822" s="1867"/>
      <c r="C822" s="478" t="s">
        <v>2529</v>
      </c>
      <c r="D822" s="1629"/>
      <c r="E822" s="1830"/>
      <c r="F822" s="1629"/>
      <c r="H822" s="478" t="s">
        <v>119</v>
      </c>
      <c r="J822" s="1865">
        <f>AV805</f>
        <v>0</v>
      </c>
      <c r="K822" s="1865">
        <f>AW805</f>
        <v>0</v>
      </c>
      <c r="L822" s="1865">
        <f>AX805</f>
        <v>17</v>
      </c>
      <c r="M822" s="1865">
        <f>AY805</f>
        <v>8</v>
      </c>
      <c r="N822" s="1865">
        <f>AZ805</f>
        <v>0</v>
      </c>
      <c r="O822" s="1865">
        <f>SUM(J822:N822)</f>
        <v>25</v>
      </c>
      <c r="R822" s="1775"/>
      <c r="S822" s="1775"/>
      <c r="T822" s="1775"/>
      <c r="U822" s="1775"/>
      <c r="V822" s="1775"/>
      <c r="W822" s="478"/>
      <c r="Z822" s="1629"/>
      <c r="AA822" s="478"/>
      <c r="AB822" s="479"/>
      <c r="AC822" s="479"/>
      <c r="AD822" s="479"/>
      <c r="AE822" s="479"/>
      <c r="AF822" s="479"/>
      <c r="AG822" s="479"/>
      <c r="AH822" s="478"/>
      <c r="AI822" s="1629"/>
      <c r="GT822" s="1824"/>
      <c r="GY822" s="1824"/>
      <c r="GZ822" s="1824"/>
      <c r="HA822" s="1824"/>
      <c r="HB822" s="1824"/>
      <c r="HC822" s="1824"/>
      <c r="HD822" s="1824"/>
      <c r="HE822" s="1824"/>
      <c r="HF822" s="1824"/>
      <c r="HG822" s="1824"/>
      <c r="HH822" s="1824"/>
      <c r="HI822" s="1824"/>
      <c r="HJ822" s="1824"/>
      <c r="HK822" s="1824"/>
      <c r="HL822" s="1824"/>
      <c r="HM822" s="1824"/>
      <c r="HN822" s="1824"/>
      <c r="HO822" s="1824"/>
      <c r="HP822" s="1824"/>
      <c r="HQ822" s="1824"/>
      <c r="HR822" s="1824"/>
      <c r="HS822" s="1824"/>
      <c r="HT822" s="1824"/>
      <c r="HU822" s="1824"/>
      <c r="HV822" s="1824"/>
      <c r="HW822" s="1824"/>
      <c r="HX822" s="1824"/>
      <c r="HY822" s="1824"/>
      <c r="HZ822" s="1824"/>
      <c r="IA822" s="1824"/>
      <c r="IB822" s="1824"/>
      <c r="IC822" s="1824"/>
      <c r="ID822" s="1824"/>
      <c r="IK822" s="1821"/>
      <c r="IL822" s="1821"/>
      <c r="JB822" s="1821"/>
    </row>
    <row r="823" spans="1:262" ht="12" customHeight="1">
      <c r="A823" s="1867"/>
      <c r="B823" s="1867"/>
      <c r="C823" s="1818"/>
      <c r="D823" s="1629"/>
      <c r="E823" s="1830"/>
      <c r="F823" s="1629"/>
      <c r="H823" s="478" t="s">
        <v>544</v>
      </c>
      <c r="J823" s="1865">
        <f>SUM(J821:J822)</f>
        <v>0</v>
      </c>
      <c r="K823" s="1865">
        <f>SUM(K821:K822)</f>
        <v>0</v>
      </c>
      <c r="L823" s="1865">
        <f>SUM(L821:L822)</f>
        <v>17</v>
      </c>
      <c r="M823" s="1865">
        <f>SUM(M821:M822)</f>
        <v>8</v>
      </c>
      <c r="N823" s="1865">
        <f>SUM(N821:N822)</f>
        <v>0</v>
      </c>
      <c r="O823" s="1865">
        <f>SUM(J823:N823)</f>
        <v>25</v>
      </c>
      <c r="R823" s="1775"/>
      <c r="S823" s="1775"/>
      <c r="T823" s="1775"/>
      <c r="U823" s="1775"/>
      <c r="V823" s="1775"/>
      <c r="W823" s="1818"/>
      <c r="Z823" s="1629"/>
      <c r="AA823" s="478"/>
      <c r="AB823" s="479"/>
      <c r="AC823" s="479"/>
      <c r="AD823" s="479"/>
      <c r="AE823" s="479"/>
      <c r="AF823" s="479"/>
      <c r="AG823" s="479"/>
      <c r="AH823" s="478"/>
      <c r="AI823" s="1629"/>
      <c r="GT823" s="1824"/>
      <c r="GY823" s="1824"/>
      <c r="GZ823" s="1824"/>
      <c r="HA823" s="1824"/>
      <c r="HB823" s="1824"/>
      <c r="HC823" s="1824"/>
      <c r="HD823" s="1824"/>
      <c r="HE823" s="1824"/>
      <c r="HF823" s="1824"/>
      <c r="HG823" s="1824"/>
      <c r="HH823" s="1824"/>
      <c r="HI823" s="1824"/>
      <c r="HJ823" s="1824"/>
      <c r="HK823" s="1824"/>
      <c r="HL823" s="1824"/>
      <c r="HM823" s="1824"/>
      <c r="HN823" s="1824"/>
      <c r="HO823" s="1824"/>
      <c r="HP823" s="1824"/>
      <c r="HQ823" s="1824"/>
      <c r="HR823" s="1824"/>
      <c r="HS823" s="1824"/>
      <c r="HT823" s="1824"/>
      <c r="HU823" s="1824"/>
      <c r="HV823" s="1824"/>
      <c r="HW823" s="1824"/>
      <c r="HX823" s="1824"/>
      <c r="HY823" s="1824"/>
      <c r="HZ823" s="1824"/>
      <c r="IA823" s="1824"/>
      <c r="IB823" s="1824"/>
      <c r="IC823" s="1824"/>
      <c r="ID823" s="1824"/>
      <c r="IK823" s="1821"/>
      <c r="IL823" s="1821"/>
      <c r="JB823" s="1821"/>
    </row>
    <row r="824" spans="1:262" ht="9" customHeight="1">
      <c r="A824" s="1867"/>
      <c r="B824" s="1867"/>
      <c r="C824" s="1629"/>
      <c r="D824" s="1629"/>
      <c r="E824" s="1629"/>
      <c r="F824" s="1629"/>
      <c r="H824" s="478"/>
      <c r="J824" s="1868"/>
      <c r="K824" s="1868"/>
      <c r="L824" s="1868"/>
      <c r="M824" s="1868"/>
      <c r="N824" s="1868"/>
      <c r="O824" s="1868"/>
      <c r="R824" s="1632" t="str">
        <f>C825</f>
        <v>PHA Operating Subsidy-Assisted</v>
      </c>
      <c r="T824" s="1869"/>
      <c r="W824" s="1629"/>
      <c r="Z824" s="1629"/>
      <c r="AA824" s="478"/>
      <c r="AB824" s="1629"/>
      <c r="AC824" s="1629"/>
      <c r="AD824" s="1629"/>
      <c r="AE824" s="1629"/>
      <c r="AF824" s="1629"/>
      <c r="AG824" s="1629"/>
      <c r="AI824" s="1629"/>
      <c r="GT824" s="1824"/>
      <c r="GY824" s="1824"/>
      <c r="GZ824" s="1824"/>
      <c r="HA824" s="1824"/>
      <c r="HB824" s="1824"/>
      <c r="HC824" s="1824"/>
      <c r="HD824" s="1824"/>
      <c r="HE824" s="1824"/>
      <c r="HF824" s="1824"/>
      <c r="HG824" s="1824"/>
      <c r="HH824" s="1824"/>
      <c r="HI824" s="1824"/>
      <c r="HJ824" s="1824"/>
      <c r="HK824" s="1824"/>
      <c r="HL824" s="1824"/>
      <c r="HM824" s="1824"/>
      <c r="HN824" s="1824"/>
      <c r="HO824" s="1824"/>
      <c r="HP824" s="1824"/>
      <c r="HQ824" s="1824"/>
      <c r="HR824" s="1824"/>
      <c r="HS824" s="1824"/>
      <c r="HT824" s="1824"/>
      <c r="HU824" s="1824"/>
      <c r="HV824" s="1824"/>
      <c r="HW824" s="1824"/>
      <c r="HX824" s="1824"/>
      <c r="HY824" s="1824"/>
      <c r="HZ824" s="1824"/>
      <c r="IA824" s="1824"/>
      <c r="IB824" s="1824"/>
      <c r="IC824" s="1824"/>
      <c r="ID824" s="1824"/>
      <c r="IK824" s="1821"/>
      <c r="IL824" s="1821"/>
      <c r="JB824" s="1821"/>
    </row>
    <row r="825" spans="1:262" ht="12" customHeight="1">
      <c r="A825" s="1867"/>
      <c r="B825" s="1867"/>
      <c r="C825" s="1834" t="s">
        <v>899</v>
      </c>
      <c r="D825" s="1834"/>
      <c r="E825" s="1834"/>
      <c r="F825" s="1629"/>
      <c r="H825" s="478" t="s">
        <v>1159</v>
      </c>
      <c r="J825" s="1865">
        <f>BP805</f>
        <v>0</v>
      </c>
      <c r="K825" s="1865">
        <f>BQ805</f>
        <v>0</v>
      </c>
      <c r="L825" s="1865">
        <f>BR805</f>
        <v>0</v>
      </c>
      <c r="M825" s="1865">
        <f>BS805</f>
        <v>0</v>
      </c>
      <c r="N825" s="1865">
        <f>BT805</f>
        <v>0</v>
      </c>
      <c r="O825" s="1865">
        <f>SUM(J825:N825)</f>
        <v>0</v>
      </c>
      <c r="R825" s="1775"/>
      <c r="S825" s="1775"/>
      <c r="T825" s="1775"/>
      <c r="U825" s="1775"/>
      <c r="V825" s="1775"/>
      <c r="W825" s="1629"/>
      <c r="Z825" s="1629"/>
      <c r="AA825" s="478"/>
      <c r="AB825" s="479"/>
      <c r="AC825" s="479"/>
      <c r="AD825" s="479"/>
      <c r="AE825" s="479"/>
      <c r="AF825" s="479"/>
      <c r="AG825" s="479"/>
      <c r="AH825" s="478"/>
      <c r="AI825" s="1629"/>
      <c r="GT825" s="1824"/>
      <c r="GY825" s="1824"/>
      <c r="GZ825" s="1824"/>
      <c r="HA825" s="1824"/>
      <c r="HB825" s="1824"/>
      <c r="HC825" s="1824"/>
      <c r="HD825" s="1824"/>
      <c r="HE825" s="1824"/>
      <c r="HF825" s="1824"/>
      <c r="HG825" s="1824"/>
      <c r="HH825" s="1824"/>
      <c r="HI825" s="1824"/>
      <c r="HJ825" s="1824"/>
      <c r="HK825" s="1824"/>
      <c r="HL825" s="1824"/>
      <c r="HM825" s="1824"/>
      <c r="HN825" s="1824"/>
      <c r="HO825" s="1824"/>
      <c r="HP825" s="1824"/>
      <c r="HQ825" s="1824"/>
      <c r="HR825" s="1824"/>
      <c r="HS825" s="1824"/>
      <c r="HT825" s="1824"/>
      <c r="HU825" s="1824"/>
      <c r="HV825" s="1824"/>
      <c r="HW825" s="1824"/>
      <c r="HX825" s="1824"/>
      <c r="HY825" s="1824"/>
      <c r="HZ825" s="1824"/>
      <c r="IA825" s="1824"/>
      <c r="IB825" s="1824"/>
      <c r="IC825" s="1824"/>
      <c r="ID825" s="1824"/>
      <c r="IK825" s="1821"/>
      <c r="IL825" s="1821"/>
      <c r="JB825" s="1821"/>
    </row>
    <row r="826" spans="1:262" ht="12" customHeight="1">
      <c r="A826" s="1867"/>
      <c r="B826" s="1867"/>
      <c r="C826" s="1834"/>
      <c r="D826" s="1834"/>
      <c r="E826" s="1834"/>
      <c r="F826" s="1629"/>
      <c r="H826" s="478" t="s">
        <v>119</v>
      </c>
      <c r="J826" s="1865">
        <f>BK805</f>
        <v>0</v>
      </c>
      <c r="K826" s="1865">
        <f>BL805</f>
        <v>0</v>
      </c>
      <c r="L826" s="1865">
        <f>BM805</f>
        <v>0</v>
      </c>
      <c r="M826" s="1865">
        <f>BN805</f>
        <v>0</v>
      </c>
      <c r="N826" s="1865">
        <f>BO805</f>
        <v>0</v>
      </c>
      <c r="O826" s="1865">
        <f>SUM(J826:N826)</f>
        <v>0</v>
      </c>
      <c r="R826" s="1775"/>
      <c r="S826" s="1775"/>
      <c r="T826" s="1775"/>
      <c r="U826" s="1775"/>
      <c r="V826" s="1775"/>
      <c r="W826" s="478"/>
      <c r="Z826" s="1629"/>
      <c r="AA826" s="478"/>
      <c r="AB826" s="479"/>
      <c r="AC826" s="479"/>
      <c r="AD826" s="479"/>
      <c r="AE826" s="479"/>
      <c r="AF826" s="479"/>
      <c r="AG826" s="479"/>
      <c r="AH826" s="478"/>
      <c r="AI826" s="1629"/>
      <c r="GT826" s="1824"/>
      <c r="GY826" s="1824"/>
      <c r="GZ826" s="1824"/>
      <c r="HA826" s="1824"/>
      <c r="HB826" s="1824"/>
      <c r="HC826" s="1824"/>
      <c r="HD826" s="1824"/>
      <c r="HE826" s="1824"/>
      <c r="HF826" s="1824"/>
      <c r="HG826" s="1824"/>
      <c r="HH826" s="1824"/>
      <c r="HI826" s="1824"/>
      <c r="HJ826" s="1824"/>
      <c r="HK826" s="1824"/>
      <c r="HL826" s="1824"/>
      <c r="HM826" s="1824"/>
      <c r="HN826" s="1824"/>
      <c r="HO826" s="1824"/>
      <c r="HP826" s="1824"/>
      <c r="HQ826" s="1824"/>
      <c r="HR826" s="1824"/>
      <c r="HS826" s="1824"/>
      <c r="HT826" s="1824"/>
      <c r="HU826" s="1824"/>
      <c r="HV826" s="1824"/>
      <c r="HW826" s="1824"/>
      <c r="HX826" s="1824"/>
      <c r="HY826" s="1824"/>
      <c r="HZ826" s="1824"/>
      <c r="IA826" s="1824"/>
      <c r="IB826" s="1824"/>
      <c r="IC826" s="1824"/>
      <c r="ID826" s="1824"/>
      <c r="IK826" s="1821"/>
      <c r="IL826" s="1821"/>
      <c r="JB826" s="1821"/>
    </row>
    <row r="827" spans="1:262" ht="12" customHeight="1">
      <c r="A827" s="1867"/>
      <c r="B827" s="1867"/>
      <c r="C827" s="478" t="s">
        <v>2529</v>
      </c>
      <c r="D827" s="1629"/>
      <c r="E827" s="1830"/>
      <c r="F827" s="1629"/>
      <c r="H827" s="478" t="s">
        <v>544</v>
      </c>
      <c r="J827" s="1865">
        <f>SUM(J825:J826)</f>
        <v>0</v>
      </c>
      <c r="K827" s="1865">
        <f>SUM(K825:K826)</f>
        <v>0</v>
      </c>
      <c r="L827" s="1865">
        <f>SUM(L825:L826)</f>
        <v>0</v>
      </c>
      <c r="M827" s="1865">
        <f>SUM(M825:M826)</f>
        <v>0</v>
      </c>
      <c r="N827" s="1865">
        <f>SUM(N825:N826)</f>
        <v>0</v>
      </c>
      <c r="O827" s="1865">
        <f>SUM(J827:N827)</f>
        <v>0</v>
      </c>
      <c r="R827" s="1775"/>
      <c r="S827" s="1775"/>
      <c r="T827" s="1775"/>
      <c r="U827" s="1775"/>
      <c r="V827" s="1775"/>
      <c r="W827" s="1818"/>
      <c r="Z827" s="1629"/>
      <c r="AA827" s="478"/>
      <c r="AB827" s="479"/>
      <c r="AC827" s="479"/>
      <c r="AD827" s="479"/>
      <c r="AE827" s="479"/>
      <c r="AF827" s="479"/>
      <c r="AG827" s="479"/>
      <c r="AH827" s="478"/>
      <c r="AI827" s="1629"/>
      <c r="GT827" s="1824"/>
      <c r="GY827" s="1824"/>
      <c r="GZ827" s="1824"/>
      <c r="HA827" s="1824"/>
      <c r="HB827" s="1824"/>
      <c r="HC827" s="1824"/>
      <c r="HD827" s="1824"/>
      <c r="HE827" s="1824"/>
      <c r="HF827" s="1824"/>
      <c r="HG827" s="1824"/>
      <c r="HH827" s="1824"/>
      <c r="HI827" s="1824"/>
      <c r="HJ827" s="1824"/>
      <c r="HK827" s="1824"/>
      <c r="HL827" s="1824"/>
      <c r="HM827" s="1824"/>
      <c r="HN827" s="1824"/>
      <c r="HO827" s="1824"/>
      <c r="HP827" s="1824"/>
      <c r="HQ827" s="1824"/>
      <c r="HR827" s="1824"/>
      <c r="HS827" s="1824"/>
      <c r="HT827" s="1824"/>
      <c r="HU827" s="1824"/>
      <c r="HV827" s="1824"/>
      <c r="HW827" s="1824"/>
      <c r="HX827" s="1824"/>
      <c r="HY827" s="1824"/>
      <c r="HZ827" s="1824"/>
      <c r="IA827" s="1824"/>
      <c r="IB827" s="1824"/>
      <c r="IC827" s="1824"/>
      <c r="ID827" s="1824"/>
      <c r="IK827" s="1821"/>
      <c r="IL827" s="1821"/>
      <c r="JB827" s="1821"/>
    </row>
    <row r="828" spans="1:262" ht="9" customHeight="1">
      <c r="A828" s="1867"/>
      <c r="B828" s="1867"/>
      <c r="D828" s="1834"/>
      <c r="E828" s="1830"/>
      <c r="F828" s="1629"/>
      <c r="H828" s="478"/>
      <c r="J828" s="1868"/>
      <c r="K828" s="1868"/>
      <c r="L828" s="1868"/>
      <c r="M828" s="1868"/>
      <c r="N828" s="1868"/>
      <c r="O828" s="1868"/>
      <c r="R828" s="1632" t="str">
        <f>C829</f>
        <v>Type of Construction Activity</v>
      </c>
      <c r="T828" s="1869"/>
      <c r="W828" s="1629"/>
      <c r="Z828" s="1629"/>
      <c r="AA828" s="478"/>
      <c r="AB828" s="1629"/>
      <c r="AC828" s="1629"/>
      <c r="AD828" s="1629"/>
      <c r="AE828" s="1629"/>
      <c r="AF828" s="1629"/>
      <c r="AG828" s="1629"/>
      <c r="AI828" s="1629"/>
      <c r="GT828" s="1824"/>
      <c r="GY828" s="1824"/>
      <c r="GZ828" s="1824"/>
      <c r="HA828" s="1824"/>
      <c r="HB828" s="1824"/>
      <c r="HC828" s="1824"/>
      <c r="HD828" s="1824"/>
      <c r="HE828" s="1824"/>
      <c r="HF828" s="1824"/>
      <c r="HG828" s="1824"/>
      <c r="HH828" s="1824"/>
      <c r="HI828" s="1824"/>
      <c r="HJ828" s="1824"/>
      <c r="HK828" s="1824"/>
      <c r="HL828" s="1824"/>
      <c r="HM828" s="1824"/>
      <c r="HN828" s="1824"/>
      <c r="HO828" s="1824"/>
      <c r="HP828" s="1824"/>
      <c r="HQ828" s="1824"/>
      <c r="HR828" s="1824"/>
      <c r="HS828" s="1824"/>
      <c r="HT828" s="1824"/>
      <c r="HU828" s="1824"/>
      <c r="HV828" s="1824"/>
      <c r="HW828" s="1824"/>
      <c r="HX828" s="1824"/>
      <c r="HY828" s="1824"/>
      <c r="HZ828" s="1824"/>
      <c r="IA828" s="1824"/>
      <c r="IB828" s="1824"/>
      <c r="IC828" s="1824"/>
      <c r="ID828" s="1824"/>
      <c r="IK828" s="1821"/>
      <c r="IL828" s="1821"/>
      <c r="JB828" s="1821"/>
    </row>
    <row r="829" spans="1:262" ht="12" customHeight="1">
      <c r="A829" s="1867"/>
      <c r="B829" s="1867"/>
      <c r="C829" s="1775" t="s">
        <v>39</v>
      </c>
      <c r="D829" s="1775"/>
      <c r="E829" s="1830" t="s">
        <v>2311</v>
      </c>
      <c r="F829" s="1629"/>
      <c r="H829" s="478" t="s">
        <v>1444</v>
      </c>
      <c r="J829" s="1865">
        <f>DD805</f>
        <v>0</v>
      </c>
      <c r="K829" s="1865">
        <f>DE805</f>
        <v>0</v>
      </c>
      <c r="L829" s="1865">
        <f>DF805</f>
        <v>45</v>
      </c>
      <c r="M829" s="1865">
        <f>DG805</f>
        <v>20</v>
      </c>
      <c r="N829" s="1865">
        <f>DH805</f>
        <v>0</v>
      </c>
      <c r="O829" s="1865">
        <f t="shared" ref="O829:O839" si="264">SUM(J829:N829)</f>
        <v>65</v>
      </c>
      <c r="R829" s="1775"/>
      <c r="S829" s="1775"/>
      <c r="T829" s="1775"/>
      <c r="U829" s="1775"/>
      <c r="V829" s="1775"/>
      <c r="W829" s="1629"/>
      <c r="Z829" s="1629"/>
      <c r="AA829" s="478"/>
      <c r="AB829" s="479"/>
      <c r="AC829" s="479"/>
      <c r="AD829" s="479"/>
      <c r="AE829" s="479"/>
      <c r="AF829" s="479"/>
      <c r="AG829" s="479"/>
      <c r="IK829" s="1821"/>
      <c r="IL829" s="1821"/>
      <c r="JB829" s="1821"/>
    </row>
    <row r="830" spans="1:262" ht="12" customHeight="1">
      <c r="A830" s="1867"/>
      <c r="B830" s="1867"/>
      <c r="C830" s="1775"/>
      <c r="D830" s="1775"/>
      <c r="E830" s="1830"/>
      <c r="F830" s="1629"/>
      <c r="H830" s="478" t="s">
        <v>305</v>
      </c>
      <c r="J830" s="1865">
        <f>DI805</f>
        <v>0</v>
      </c>
      <c r="K830" s="1865">
        <f>DJ805</f>
        <v>0</v>
      </c>
      <c r="L830" s="1865">
        <f>DK805</f>
        <v>0</v>
      </c>
      <c r="M830" s="1865">
        <f>DL805</f>
        <v>0</v>
      </c>
      <c r="N830" s="1865">
        <f>DM805</f>
        <v>0</v>
      </c>
      <c r="O830" s="1865">
        <f t="shared" si="264"/>
        <v>0</v>
      </c>
      <c r="R830" s="1775"/>
      <c r="S830" s="1775"/>
      <c r="T830" s="1775"/>
      <c r="U830" s="1775"/>
      <c r="V830" s="1775"/>
      <c r="W830" s="1629"/>
      <c r="Z830" s="1629"/>
      <c r="AA830" s="478"/>
      <c r="AB830" s="479"/>
      <c r="AC830" s="479"/>
      <c r="AD830" s="479"/>
      <c r="AE830" s="479"/>
      <c r="AF830" s="479"/>
      <c r="AG830" s="479"/>
      <c r="AH830" s="1156"/>
      <c r="AI830" s="1629"/>
      <c r="GT830" s="1824"/>
      <c r="GY830" s="1824"/>
      <c r="GZ830" s="1824"/>
      <c r="HA830" s="1824"/>
      <c r="HB830" s="1824"/>
      <c r="HC830" s="1824"/>
      <c r="HD830" s="1824"/>
      <c r="HE830" s="1824"/>
      <c r="HF830" s="1824"/>
      <c r="HG830" s="1824"/>
      <c r="HH830" s="1824"/>
      <c r="HI830" s="1824"/>
      <c r="HJ830" s="1824"/>
      <c r="HK830" s="1824"/>
      <c r="HL830" s="1824"/>
      <c r="HM830" s="1824"/>
      <c r="HN830" s="1824"/>
      <c r="HO830" s="1824"/>
      <c r="HP830" s="1824"/>
      <c r="HQ830" s="1824"/>
      <c r="HR830" s="1824"/>
      <c r="HS830" s="1824"/>
      <c r="HT830" s="1824"/>
      <c r="HU830" s="1824"/>
      <c r="HV830" s="1824"/>
      <c r="HW830" s="1824"/>
      <c r="HX830" s="1824"/>
      <c r="HY830" s="1824"/>
      <c r="HZ830" s="1824"/>
      <c r="IA830" s="1824"/>
      <c r="IB830" s="1824"/>
      <c r="IC830" s="1824"/>
      <c r="ID830" s="1824"/>
      <c r="IK830" s="1821"/>
      <c r="IL830" s="1821"/>
      <c r="JB830" s="1821"/>
    </row>
    <row r="831" spans="1:262" ht="12" customHeight="1">
      <c r="A831" s="1867"/>
      <c r="B831" s="1867"/>
      <c r="C831" s="1775"/>
      <c r="D831" s="1775"/>
      <c r="E831" s="1830"/>
      <c r="F831" s="1629"/>
      <c r="H831" s="478" t="s">
        <v>32</v>
      </c>
      <c r="J831" s="1865">
        <f>SUM(J829:J830)+DN805</f>
        <v>0</v>
      </c>
      <c r="K831" s="1865">
        <f>SUM(K829:K830)+DO805</f>
        <v>0</v>
      </c>
      <c r="L831" s="1865">
        <f>SUM(L829:L830)+DP805</f>
        <v>45</v>
      </c>
      <c r="M831" s="1865">
        <f>SUM(M829:M830)+DQ805</f>
        <v>20</v>
      </c>
      <c r="N831" s="1865">
        <f>SUM(N829:N830)+DR805</f>
        <v>0</v>
      </c>
      <c r="O831" s="1865">
        <f t="shared" si="264"/>
        <v>65</v>
      </c>
      <c r="R831" s="1775"/>
      <c r="S831" s="1775"/>
      <c r="T831" s="1775"/>
      <c r="U831" s="1775"/>
      <c r="V831" s="1775"/>
      <c r="W831" s="1818"/>
      <c r="Z831" s="1629"/>
      <c r="AA831" s="478"/>
      <c r="AB831" s="479"/>
      <c r="AC831" s="479"/>
      <c r="AD831" s="479"/>
      <c r="AE831" s="479"/>
      <c r="AF831" s="479"/>
      <c r="AG831" s="479"/>
      <c r="AH831" s="478"/>
      <c r="AI831" s="1629"/>
      <c r="GT831" s="1824"/>
      <c r="GY831" s="1824"/>
      <c r="GZ831" s="1824"/>
      <c r="HA831" s="1824"/>
      <c r="HB831" s="1824"/>
      <c r="HC831" s="1824"/>
      <c r="HD831" s="1824"/>
      <c r="HE831" s="1824"/>
      <c r="HF831" s="1824"/>
      <c r="HG831" s="1824"/>
      <c r="HH831" s="1824"/>
      <c r="HI831" s="1824"/>
      <c r="HJ831" s="1824"/>
      <c r="HK831" s="1824"/>
      <c r="HL831" s="1824"/>
      <c r="HM831" s="1824"/>
      <c r="HN831" s="1824"/>
      <c r="HO831" s="1824"/>
      <c r="HP831" s="1824"/>
      <c r="HQ831" s="1824"/>
      <c r="HR831" s="1824"/>
      <c r="HS831" s="1824"/>
      <c r="HT831" s="1824"/>
      <c r="HU831" s="1824"/>
      <c r="HV831" s="1824"/>
      <c r="HW831" s="1824"/>
      <c r="HX831" s="1824"/>
      <c r="HY831" s="1824"/>
      <c r="HZ831" s="1824"/>
      <c r="IA831" s="1824"/>
      <c r="IB831" s="1824"/>
      <c r="IC831" s="1824"/>
      <c r="ID831" s="1824"/>
      <c r="IK831" s="1821"/>
      <c r="IL831" s="1821"/>
      <c r="JB831" s="1821"/>
    </row>
    <row r="832" spans="1:262" ht="12" customHeight="1">
      <c r="A832" s="1867"/>
      <c r="B832" s="1867"/>
      <c r="C832" s="1775"/>
      <c r="D832" s="1775"/>
      <c r="E832" s="1830" t="s">
        <v>2153</v>
      </c>
      <c r="F832" s="1629"/>
      <c r="H832" s="478" t="s">
        <v>1444</v>
      </c>
      <c r="J832" s="1865">
        <f>DS805</f>
        <v>0</v>
      </c>
      <c r="K832" s="1865">
        <f>DT805</f>
        <v>0</v>
      </c>
      <c r="L832" s="1865">
        <f>DU805</f>
        <v>0</v>
      </c>
      <c r="M832" s="1865">
        <f>DV805</f>
        <v>0</v>
      </c>
      <c r="N832" s="1865">
        <f>DW805</f>
        <v>0</v>
      </c>
      <c r="O832" s="1865">
        <f t="shared" si="264"/>
        <v>0</v>
      </c>
      <c r="R832" s="1775"/>
      <c r="S832" s="1775"/>
      <c r="T832" s="1775"/>
      <c r="U832" s="1775"/>
      <c r="V832" s="1775"/>
      <c r="W832" s="1629"/>
      <c r="Z832" s="1629"/>
      <c r="AA832" s="478"/>
      <c r="AB832" s="479"/>
      <c r="AC832" s="479"/>
      <c r="AD832" s="479"/>
      <c r="AE832" s="479"/>
      <c r="AF832" s="479"/>
      <c r="AG832" s="479"/>
      <c r="IK832" s="1821"/>
      <c r="IL832" s="1821"/>
      <c r="JB832" s="1821"/>
    </row>
    <row r="833" spans="1:262" ht="12" customHeight="1">
      <c r="A833" s="1867"/>
      <c r="B833" s="1867"/>
      <c r="C833" s="1775"/>
      <c r="D833" s="1775"/>
      <c r="E833" s="1830"/>
      <c r="F833" s="1629"/>
      <c r="H833" s="478" t="s">
        <v>305</v>
      </c>
      <c r="J833" s="1865">
        <f>DX805</f>
        <v>0</v>
      </c>
      <c r="K833" s="1865">
        <f>DY805</f>
        <v>0</v>
      </c>
      <c r="L833" s="1865">
        <f>DZ805</f>
        <v>0</v>
      </c>
      <c r="M833" s="1865">
        <f>EA805</f>
        <v>0</v>
      </c>
      <c r="N833" s="1865">
        <f>EB805</f>
        <v>0</v>
      </c>
      <c r="O833" s="1865">
        <f t="shared" si="264"/>
        <v>0</v>
      </c>
      <c r="R833" s="1775"/>
      <c r="S833" s="1775"/>
      <c r="T833" s="1775"/>
      <c r="U833" s="1775"/>
      <c r="V833" s="1775"/>
      <c r="W833" s="1629"/>
      <c r="Z833" s="1629"/>
      <c r="AA833" s="478"/>
      <c r="AB833" s="479"/>
      <c r="AC833" s="479"/>
      <c r="AD833" s="479"/>
      <c r="AE833" s="479"/>
      <c r="AF833" s="479"/>
      <c r="AG833" s="479"/>
      <c r="AH833" s="1156"/>
      <c r="AI833" s="1629"/>
      <c r="GT833" s="1824"/>
      <c r="GY833" s="1824"/>
      <c r="GZ833" s="1824"/>
      <c r="HA833" s="1824"/>
      <c r="HB833" s="1824"/>
      <c r="HC833" s="1824"/>
      <c r="HD833" s="1824"/>
      <c r="HE833" s="1824"/>
      <c r="HF833" s="1824"/>
      <c r="HG833" s="1824"/>
      <c r="HH833" s="1824"/>
      <c r="HI833" s="1824"/>
      <c r="HJ833" s="1824"/>
      <c r="HK833" s="1824"/>
      <c r="HL833" s="1824"/>
      <c r="HM833" s="1824"/>
      <c r="HN833" s="1824"/>
      <c r="HO833" s="1824"/>
      <c r="HP833" s="1824"/>
      <c r="HQ833" s="1824"/>
      <c r="HR833" s="1824"/>
      <c r="HS833" s="1824"/>
      <c r="HT833" s="1824"/>
      <c r="HU833" s="1824"/>
      <c r="HV833" s="1824"/>
      <c r="HW833" s="1824"/>
      <c r="HX833" s="1824"/>
      <c r="HY833" s="1824"/>
      <c r="HZ833" s="1824"/>
      <c r="IA833" s="1824"/>
      <c r="IB833" s="1824"/>
      <c r="IC833" s="1824"/>
      <c r="ID833" s="1824"/>
      <c r="IK833" s="1821"/>
      <c r="IL833" s="1821"/>
      <c r="JB833" s="1821"/>
    </row>
    <row r="834" spans="1:262" ht="12" customHeight="1">
      <c r="A834" s="1867"/>
      <c r="B834" s="1867"/>
      <c r="C834" s="1775"/>
      <c r="D834" s="1775"/>
      <c r="E834" s="1830"/>
      <c r="F834" s="1629"/>
      <c r="H834" s="478" t="s">
        <v>32</v>
      </c>
      <c r="J834" s="1865">
        <f>SUM(J832:J833)+EC805</f>
        <v>0</v>
      </c>
      <c r="K834" s="1865">
        <f>SUM(K832:K833)+ED805</f>
        <v>0</v>
      </c>
      <c r="L834" s="1865">
        <f>SUM(L832:L833)+EE805</f>
        <v>0</v>
      </c>
      <c r="M834" s="1865">
        <f>SUM(M832:M833)+EF805</f>
        <v>0</v>
      </c>
      <c r="N834" s="1865">
        <f>SUM(N832:N833)+EG805</f>
        <v>0</v>
      </c>
      <c r="O834" s="1865">
        <f t="shared" si="264"/>
        <v>0</v>
      </c>
      <c r="R834" s="1775"/>
      <c r="S834" s="1775"/>
      <c r="T834" s="1775"/>
      <c r="U834" s="1775"/>
      <c r="V834" s="1775"/>
      <c r="W834" s="1818"/>
      <c r="Z834" s="1629"/>
      <c r="AA834" s="478"/>
      <c r="AB834" s="479"/>
      <c r="AC834" s="479"/>
      <c r="AD834" s="479"/>
      <c r="AE834" s="479"/>
      <c r="AF834" s="479"/>
      <c r="AG834" s="479"/>
      <c r="AH834" s="478"/>
      <c r="AI834" s="1629"/>
      <c r="GT834" s="1824"/>
      <c r="GY834" s="1824"/>
      <c r="GZ834" s="1824"/>
      <c r="HA834" s="1824"/>
      <c r="HB834" s="1824"/>
      <c r="HC834" s="1824"/>
      <c r="HD834" s="1824"/>
      <c r="HE834" s="1824"/>
      <c r="HF834" s="1824"/>
      <c r="HG834" s="1824"/>
      <c r="HH834" s="1824"/>
      <c r="HI834" s="1824"/>
      <c r="HJ834" s="1824"/>
      <c r="HK834" s="1824"/>
      <c r="HL834" s="1824"/>
      <c r="HM834" s="1824"/>
      <c r="HN834" s="1824"/>
      <c r="HO834" s="1824"/>
      <c r="HP834" s="1824"/>
      <c r="HQ834" s="1824"/>
      <c r="HR834" s="1824"/>
      <c r="HS834" s="1824"/>
      <c r="HT834" s="1824"/>
      <c r="HU834" s="1824"/>
      <c r="HV834" s="1824"/>
      <c r="HW834" s="1824"/>
      <c r="HX834" s="1824"/>
      <c r="HY834" s="1824"/>
      <c r="HZ834" s="1824"/>
      <c r="IA834" s="1824"/>
      <c r="IB834" s="1824"/>
      <c r="IC834" s="1824"/>
      <c r="ID834" s="1824"/>
      <c r="IK834" s="1821"/>
      <c r="IL834" s="1821"/>
      <c r="JB834" s="1821"/>
    </row>
    <row r="835" spans="1:262" ht="12" customHeight="1">
      <c r="A835" s="1867"/>
      <c r="B835" s="1867"/>
      <c r="C835" s="1329"/>
      <c r="D835" s="1629"/>
      <c r="E835" s="1329" t="s">
        <v>1431</v>
      </c>
      <c r="F835" s="1329"/>
      <c r="H835" s="478" t="s">
        <v>1444</v>
      </c>
      <c r="J835" s="1865">
        <f>EH805</f>
        <v>0</v>
      </c>
      <c r="K835" s="1865">
        <f>EI805</f>
        <v>0</v>
      </c>
      <c r="L835" s="1865">
        <f>EJ805</f>
        <v>0</v>
      </c>
      <c r="M835" s="1865">
        <f>EK805</f>
        <v>0</v>
      </c>
      <c r="N835" s="1865">
        <f>EL805</f>
        <v>0</v>
      </c>
      <c r="O835" s="1865">
        <f t="shared" si="264"/>
        <v>0</v>
      </c>
      <c r="R835" s="1775"/>
      <c r="S835" s="1775"/>
      <c r="T835" s="1775"/>
      <c r="U835" s="1775"/>
      <c r="V835" s="1775"/>
      <c r="W835" s="1629"/>
      <c r="Z835" s="1629"/>
      <c r="AA835" s="478"/>
      <c r="AB835" s="479"/>
      <c r="AC835" s="479"/>
      <c r="AD835" s="479"/>
      <c r="AE835" s="479"/>
      <c r="AF835" s="479"/>
      <c r="AG835" s="479"/>
      <c r="IK835" s="1821"/>
      <c r="IL835" s="1821"/>
      <c r="JB835" s="1821"/>
    </row>
    <row r="836" spans="1:262" ht="12" customHeight="1">
      <c r="A836" s="1867"/>
      <c r="B836" s="1867"/>
      <c r="C836" s="1329"/>
      <c r="D836" s="1629"/>
      <c r="E836" s="1329"/>
      <c r="F836" s="1329"/>
      <c r="H836" s="478" t="s">
        <v>305</v>
      </c>
      <c r="J836" s="1865">
        <f>EM805</f>
        <v>0</v>
      </c>
      <c r="K836" s="1865">
        <f>EN805</f>
        <v>0</v>
      </c>
      <c r="L836" s="1865">
        <f>EO805</f>
        <v>0</v>
      </c>
      <c r="M836" s="1865">
        <f>EP805</f>
        <v>0</v>
      </c>
      <c r="N836" s="1865">
        <f>EQ805</f>
        <v>0</v>
      </c>
      <c r="O836" s="1865">
        <f t="shared" si="264"/>
        <v>0</v>
      </c>
      <c r="R836" s="1775"/>
      <c r="S836" s="1775"/>
      <c r="T836" s="1775"/>
      <c r="U836" s="1775"/>
      <c r="V836" s="1775"/>
      <c r="W836" s="1629"/>
      <c r="Z836" s="1629"/>
      <c r="AA836" s="478"/>
      <c r="AB836" s="479"/>
      <c r="AC836" s="479"/>
      <c r="AD836" s="479"/>
      <c r="AE836" s="479"/>
      <c r="AF836" s="479"/>
      <c r="AG836" s="479"/>
      <c r="AH836" s="1156"/>
      <c r="AI836" s="1629"/>
      <c r="GT836" s="1824"/>
      <c r="GY836" s="1824"/>
      <c r="GZ836" s="1824"/>
      <c r="HA836" s="1824"/>
      <c r="HB836" s="1824"/>
      <c r="HC836" s="1824"/>
      <c r="HD836" s="1824"/>
      <c r="HE836" s="1824"/>
      <c r="HF836" s="1824"/>
      <c r="HG836" s="1824"/>
      <c r="HH836" s="1824"/>
      <c r="HI836" s="1824"/>
      <c r="HJ836" s="1824"/>
      <c r="HK836" s="1824"/>
      <c r="HL836" s="1824"/>
      <c r="HM836" s="1824"/>
      <c r="HN836" s="1824"/>
      <c r="HO836" s="1824"/>
      <c r="HP836" s="1824"/>
      <c r="HQ836" s="1824"/>
      <c r="HR836" s="1824"/>
      <c r="HS836" s="1824"/>
      <c r="HT836" s="1824"/>
      <c r="HU836" s="1824"/>
      <c r="HV836" s="1824"/>
      <c r="HW836" s="1824"/>
      <c r="HX836" s="1824"/>
      <c r="HY836" s="1824"/>
      <c r="HZ836" s="1824"/>
      <c r="IA836" s="1824"/>
      <c r="IB836" s="1824"/>
      <c r="IC836" s="1824"/>
      <c r="ID836" s="1824"/>
      <c r="IK836" s="1821"/>
      <c r="IL836" s="1821"/>
      <c r="JB836" s="1821"/>
    </row>
    <row r="837" spans="1:262" ht="12" customHeight="1">
      <c r="A837" s="1867"/>
      <c r="B837" s="1867"/>
      <c r="C837" s="1329"/>
      <c r="D837" s="1629"/>
      <c r="E837" s="1830"/>
      <c r="F837" s="1629"/>
      <c r="H837" s="478" t="s">
        <v>32</v>
      </c>
      <c r="J837" s="1865">
        <f>SUM(J835:J836)+ER805</f>
        <v>0</v>
      </c>
      <c r="K837" s="1865">
        <f>SUM(K835:K836)+ES805</f>
        <v>0</v>
      </c>
      <c r="L837" s="1865">
        <f>SUM(L835:L836)+ET805</f>
        <v>0</v>
      </c>
      <c r="M837" s="1865">
        <f>SUM(M835:M836)+EU805</f>
        <v>0</v>
      </c>
      <c r="N837" s="1865">
        <f>SUM(N835:N836)+EV805</f>
        <v>0</v>
      </c>
      <c r="O837" s="1865">
        <f t="shared" si="264"/>
        <v>0</v>
      </c>
      <c r="R837" s="1775"/>
      <c r="S837" s="1775"/>
      <c r="T837" s="1775"/>
      <c r="U837" s="1775"/>
      <c r="V837" s="1775"/>
      <c r="W837" s="1818"/>
      <c r="Z837" s="1629"/>
      <c r="AA837" s="478"/>
      <c r="AB837" s="479"/>
      <c r="AC837" s="479"/>
      <c r="AD837" s="479"/>
      <c r="AE837" s="479"/>
      <c r="AF837" s="479"/>
      <c r="AG837" s="479"/>
      <c r="AH837" s="478"/>
      <c r="AI837" s="1629"/>
      <c r="GT837" s="1824"/>
      <c r="GY837" s="1824"/>
      <c r="GZ837" s="1824"/>
      <c r="HA837" s="1824"/>
      <c r="HB837" s="1824"/>
      <c r="HC837" s="1824"/>
      <c r="HD837" s="1824"/>
      <c r="HE837" s="1824"/>
      <c r="HF837" s="1824"/>
      <c r="HG837" s="1824"/>
      <c r="HH837" s="1824"/>
      <c r="HI837" s="1824"/>
      <c r="HJ837" s="1824"/>
      <c r="HK837" s="1824"/>
      <c r="HL837" s="1824"/>
      <c r="HM837" s="1824"/>
      <c r="HN837" s="1824"/>
      <c r="HO837" s="1824"/>
      <c r="HP837" s="1824"/>
      <c r="HQ837" s="1824"/>
      <c r="HR837" s="1824"/>
      <c r="HS837" s="1824"/>
      <c r="HT837" s="1824"/>
      <c r="HU837" s="1824"/>
      <c r="HV837" s="1824"/>
      <c r="HW837" s="1824"/>
      <c r="HX837" s="1824"/>
      <c r="HY837" s="1824"/>
      <c r="HZ837" s="1824"/>
      <c r="IA837" s="1824"/>
      <c r="IB837" s="1824"/>
      <c r="IC837" s="1824"/>
      <c r="ID837" s="1824"/>
      <c r="IK837" s="1821"/>
      <c r="IL837" s="1821"/>
      <c r="JB837" s="1821"/>
    </row>
    <row r="838" spans="1:262" ht="12" customHeight="1">
      <c r="A838" s="1867"/>
      <c r="B838" s="1867"/>
      <c r="C838" s="1329"/>
      <c r="D838" s="1629"/>
      <c r="E838" s="1830" t="s">
        <v>367</v>
      </c>
      <c r="F838" s="1629"/>
      <c r="G838" s="1631"/>
      <c r="J838" s="1865">
        <f>'Part VI-Revenues &amp; Expenses'!J81</f>
        <v>0</v>
      </c>
      <c r="K838" s="1865">
        <f>'Part VI-Revenues &amp; Expenses'!K81</f>
        <v>0</v>
      </c>
      <c r="L838" s="1865">
        <f>'Part VI-Revenues &amp; Expenses'!L81</f>
        <v>0</v>
      </c>
      <c r="M838" s="1865">
        <f>'Part VI-Revenues &amp; Expenses'!M81</f>
        <v>0</v>
      </c>
      <c r="N838" s="1865">
        <f>'Part VI-Revenues &amp; Expenses'!N81</f>
        <v>0</v>
      </c>
      <c r="O838" s="1865">
        <f t="shared" si="264"/>
        <v>0</v>
      </c>
      <c r="R838" s="1775"/>
      <c r="S838" s="1775"/>
      <c r="T838" s="1775"/>
      <c r="U838" s="1775"/>
      <c r="V838" s="1775"/>
      <c r="W838" s="1629"/>
      <c r="Z838" s="1629"/>
      <c r="AA838" s="478"/>
      <c r="AB838" s="479"/>
      <c r="AC838" s="479"/>
      <c r="AD838" s="479"/>
      <c r="AE838" s="479"/>
      <c r="AF838" s="479"/>
      <c r="AG838" s="479"/>
      <c r="AH838" s="1156"/>
      <c r="AI838" s="1629"/>
      <c r="GT838" s="1824"/>
      <c r="GY838" s="1824"/>
      <c r="GZ838" s="1824"/>
      <c r="HA838" s="1824"/>
      <c r="HB838" s="1824"/>
      <c r="HC838" s="1824"/>
      <c r="HD838" s="1824"/>
      <c r="HE838" s="1824"/>
      <c r="HF838" s="1824"/>
      <c r="HG838" s="1824"/>
      <c r="HH838" s="1824"/>
      <c r="HI838" s="1824"/>
      <c r="HJ838" s="1824"/>
      <c r="HK838" s="1824"/>
      <c r="HL838" s="1824"/>
      <c r="HM838" s="1824"/>
      <c r="HN838" s="1824"/>
      <c r="HO838" s="1824"/>
      <c r="HP838" s="1824"/>
      <c r="HQ838" s="1824"/>
      <c r="HR838" s="1824"/>
      <c r="HS838" s="1824"/>
      <c r="HT838" s="1824"/>
      <c r="HU838" s="1824"/>
      <c r="HV838" s="1824"/>
      <c r="HW838" s="1824"/>
      <c r="HX838" s="1824"/>
      <c r="HY838" s="1824"/>
      <c r="HZ838" s="1824"/>
      <c r="IA838" s="1824"/>
      <c r="IB838" s="1824"/>
      <c r="IC838" s="1824"/>
      <c r="ID838" s="1824"/>
      <c r="IK838" s="1821"/>
      <c r="IL838" s="1821"/>
      <c r="JB838" s="1821"/>
    </row>
    <row r="839" spans="1:262" ht="12" customHeight="1">
      <c r="A839" s="1870" t="str">
        <f>IF(AND('Part IV-A-Uses of Funds'!$T$165="Yes",'Part IX A-Scoring Criteria'!$O$414&gt;0,O839&lt;1),"SHOW HISTORIC UNITS HERE &gt;&gt;&gt;&gt;","")</f>
        <v/>
      </c>
      <c r="B839" s="1870"/>
      <c r="C839" s="1870"/>
      <c r="D839" s="1870"/>
      <c r="E839" s="1830" t="s">
        <v>4546</v>
      </c>
      <c r="F839" s="1629"/>
      <c r="G839" s="1631"/>
      <c r="J839" s="1865">
        <f>'Part VI-Revenues &amp; Expenses'!J82</f>
        <v>0</v>
      </c>
      <c r="K839" s="1865">
        <f>'Part VI-Revenues &amp; Expenses'!K82</f>
        <v>0</v>
      </c>
      <c r="L839" s="1865">
        <f>'Part VI-Revenues &amp; Expenses'!L82</f>
        <v>0</v>
      </c>
      <c r="M839" s="1865">
        <f>'Part VI-Revenues &amp; Expenses'!M82</f>
        <v>0</v>
      </c>
      <c r="N839" s="1865">
        <f>'Part VI-Revenues &amp; Expenses'!N82</f>
        <v>0</v>
      </c>
      <c r="O839" s="1865">
        <f t="shared" si="264"/>
        <v>0</v>
      </c>
      <c r="R839" s="1775"/>
      <c r="S839" s="1775"/>
      <c r="T839" s="1775"/>
      <c r="U839" s="1775"/>
      <c r="V839" s="1775"/>
      <c r="W839" s="1629"/>
      <c r="Z839" s="1629"/>
      <c r="AA839" s="478"/>
      <c r="AB839" s="479"/>
      <c r="AC839" s="479"/>
      <c r="AD839" s="479"/>
      <c r="AE839" s="479"/>
      <c r="AF839" s="479"/>
      <c r="AG839" s="479"/>
      <c r="AH839" s="1156"/>
      <c r="AI839" s="1629"/>
      <c r="GT839" s="1824"/>
      <c r="GY839" s="1824"/>
      <c r="GZ839" s="1824"/>
      <c r="HA839" s="1824"/>
      <c r="HB839" s="1824"/>
      <c r="HC839" s="1824"/>
      <c r="HD839" s="1824"/>
      <c r="HE839" s="1824"/>
      <c r="HF839" s="1824"/>
      <c r="HG839" s="1824"/>
      <c r="HH839" s="1824"/>
      <c r="HI839" s="1824"/>
      <c r="HJ839" s="1824"/>
      <c r="HK839" s="1824"/>
      <c r="HL839" s="1824"/>
      <c r="HM839" s="1824"/>
      <c r="HN839" s="1824"/>
      <c r="HO839" s="1824"/>
      <c r="HP839" s="1824"/>
      <c r="HQ839" s="1824"/>
      <c r="HR839" s="1824"/>
      <c r="HS839" s="1824"/>
      <c r="HT839" s="1824"/>
      <c r="HU839" s="1824"/>
      <c r="HV839" s="1824"/>
      <c r="HW839" s="1824"/>
      <c r="HX839" s="1824"/>
      <c r="HY839" s="1824"/>
      <c r="HZ839" s="1824"/>
      <c r="IA839" s="1824"/>
      <c r="IB839" s="1824"/>
      <c r="IC839" s="1824"/>
      <c r="ID839" s="1824"/>
      <c r="IK839" s="1821"/>
      <c r="IL839" s="1821"/>
      <c r="JB839" s="1821"/>
    </row>
    <row r="840" spans="1:262" ht="9" customHeight="1">
      <c r="A840" s="1871"/>
      <c r="B840" s="1871"/>
      <c r="C840" s="1871"/>
      <c r="D840" s="1871"/>
      <c r="E840" s="1830"/>
      <c r="F840" s="1629"/>
      <c r="G840" s="1631"/>
      <c r="J840" s="478"/>
      <c r="K840" s="478"/>
      <c r="L840" s="478"/>
      <c r="M840" s="478"/>
      <c r="N840" s="478"/>
      <c r="O840" s="478"/>
      <c r="R840" s="1775"/>
      <c r="S840" s="1775"/>
      <c r="T840" s="1775"/>
      <c r="U840" s="1775"/>
      <c r="V840" s="1775"/>
      <c r="W840" s="1629"/>
      <c r="Z840" s="1629"/>
      <c r="AA840" s="478"/>
      <c r="AB840" s="479"/>
      <c r="AC840" s="479"/>
      <c r="AD840" s="479"/>
      <c r="AE840" s="479"/>
      <c r="AF840" s="479"/>
      <c r="AG840" s="479"/>
      <c r="AH840" s="1156"/>
      <c r="AI840" s="1629"/>
      <c r="GT840" s="1824"/>
      <c r="GY840" s="1824"/>
      <c r="GZ840" s="1824"/>
      <c r="HA840" s="1824"/>
      <c r="HB840" s="1824"/>
      <c r="HC840" s="1824"/>
      <c r="HD840" s="1824"/>
      <c r="HE840" s="1824"/>
      <c r="HF840" s="1824"/>
      <c r="HG840" s="1824"/>
      <c r="HH840" s="1824"/>
      <c r="HI840" s="1824"/>
      <c r="HJ840" s="1824"/>
      <c r="HK840" s="1824"/>
      <c r="HL840" s="1824"/>
      <c r="HM840" s="1824"/>
      <c r="HN840" s="1824"/>
      <c r="HO840" s="1824"/>
      <c r="HP840" s="1824"/>
      <c r="HQ840" s="1824"/>
      <c r="HR840" s="1824"/>
      <c r="HS840" s="1824"/>
      <c r="HT840" s="1824"/>
      <c r="HU840" s="1824"/>
      <c r="HV840" s="1824"/>
      <c r="HW840" s="1824"/>
      <c r="HX840" s="1824"/>
      <c r="HY840" s="1824"/>
      <c r="HZ840" s="1824"/>
      <c r="IA840" s="1824"/>
      <c r="IB840" s="1824"/>
      <c r="IC840" s="1824"/>
      <c r="ID840" s="1824"/>
      <c r="IK840" s="1821"/>
      <c r="IL840" s="1821"/>
      <c r="JB840" s="1821"/>
    </row>
    <row r="841" spans="1:262" ht="12" customHeight="1">
      <c r="A841" s="1871"/>
      <c r="B841" s="1871"/>
      <c r="C841" s="1871"/>
      <c r="D841" s="1871"/>
      <c r="E841" s="1830" t="s">
        <v>3378</v>
      </c>
      <c r="F841" s="1629"/>
      <c r="G841" s="1631"/>
      <c r="J841" s="1865">
        <f>J845+J847+J849+J851+J853+J855+J857+J859</f>
        <v>0</v>
      </c>
      <c r="K841" s="1865">
        <f>K845+K847+K849+K851+K853+K855+K857+K859</f>
        <v>0</v>
      </c>
      <c r="L841" s="1865">
        <f>L845+L847+L849+L851+L853+L855+L857+L859</f>
        <v>0</v>
      </c>
      <c r="M841" s="1865">
        <f>M845+M847+M849+M851+M853+M855+M857+M859</f>
        <v>0</v>
      </c>
      <c r="N841" s="1865">
        <f>N845+N847+N849+N851+N853+N855+N857+N859</f>
        <v>0</v>
      </c>
      <c r="O841" s="1865">
        <f>SUM(J841:N841)</f>
        <v>0</v>
      </c>
      <c r="R841" s="1775"/>
      <c r="S841" s="1775"/>
      <c r="T841" s="1775"/>
      <c r="U841" s="1775"/>
      <c r="V841" s="1775"/>
      <c r="W841" s="1629"/>
      <c r="Z841" s="1629"/>
      <c r="AA841" s="478"/>
      <c r="AB841" s="479"/>
      <c r="AC841" s="479"/>
      <c r="AD841" s="479"/>
      <c r="AE841" s="479"/>
      <c r="AF841" s="479"/>
      <c r="AG841" s="479"/>
      <c r="AH841" s="1156"/>
      <c r="AI841" s="1629"/>
      <c r="GT841" s="1824"/>
      <c r="GY841" s="1824"/>
      <c r="GZ841" s="1824"/>
      <c r="HA841" s="1824"/>
      <c r="HB841" s="1824"/>
      <c r="HC841" s="1824"/>
      <c r="HD841" s="1824"/>
      <c r="HE841" s="1824"/>
      <c r="HF841" s="1824"/>
      <c r="HG841" s="1824"/>
      <c r="HH841" s="1824"/>
      <c r="HI841" s="1824"/>
      <c r="HJ841" s="1824"/>
      <c r="HK841" s="1824"/>
      <c r="HL841" s="1824"/>
      <c r="HM841" s="1824"/>
      <c r="HN841" s="1824"/>
      <c r="HO841" s="1824"/>
      <c r="HP841" s="1824"/>
      <c r="HQ841" s="1824"/>
      <c r="HR841" s="1824"/>
      <c r="HS841" s="1824"/>
      <c r="HT841" s="1824"/>
      <c r="HU841" s="1824"/>
      <c r="HV841" s="1824"/>
      <c r="HW841" s="1824"/>
      <c r="HX841" s="1824"/>
      <c r="HY841" s="1824"/>
      <c r="HZ841" s="1824"/>
      <c r="IA841" s="1824"/>
      <c r="IB841" s="1824"/>
      <c r="IC841" s="1824"/>
      <c r="ID841" s="1824"/>
      <c r="IK841" s="1821"/>
      <c r="IL841" s="1821"/>
      <c r="JB841" s="1821"/>
    </row>
    <row r="842" spans="1:262" ht="9.75" customHeight="1">
      <c r="D842" s="1629"/>
      <c r="E842" s="1830"/>
      <c r="F842" s="1629"/>
      <c r="G842" s="1631"/>
      <c r="J842" s="1868"/>
      <c r="K842" s="1868"/>
      <c r="L842" s="1868"/>
      <c r="M842" s="1868"/>
      <c r="N842" s="1868"/>
      <c r="O842" s="1868"/>
      <c r="R842" s="1639" t="str">
        <f>C843</f>
        <v>Building Type: (for Utility Allowance, Monitoring Fees and other purposes)</v>
      </c>
      <c r="T842" s="1869"/>
      <c r="W842" s="1629"/>
      <c r="Z842" s="1629"/>
      <c r="AA842" s="478"/>
      <c r="AB842" s="1629"/>
      <c r="AC842" s="1629"/>
      <c r="AD842" s="1629"/>
      <c r="AE842" s="1629"/>
      <c r="AF842" s="1629"/>
      <c r="AG842" s="1629"/>
      <c r="AI842" s="1629"/>
      <c r="GT842" s="1824"/>
      <c r="GY842" s="1824"/>
      <c r="GZ842" s="1824"/>
      <c r="HA842" s="1824"/>
      <c r="HB842" s="1824"/>
      <c r="HC842" s="1824"/>
      <c r="HD842" s="1824"/>
      <c r="HE842" s="1824"/>
      <c r="HF842" s="1824"/>
      <c r="HG842" s="1824"/>
      <c r="HH842" s="1824"/>
      <c r="HI842" s="1824"/>
      <c r="HJ842" s="1824"/>
      <c r="HK842" s="1824"/>
      <c r="HL842" s="1824"/>
      <c r="HM842" s="1824"/>
      <c r="HN842" s="1824"/>
      <c r="HO842" s="1824"/>
      <c r="HP842" s="1824"/>
      <c r="HQ842" s="1824"/>
      <c r="HR842" s="1824"/>
      <c r="HS842" s="1824"/>
      <c r="HT842" s="1824"/>
      <c r="HU842" s="1824"/>
      <c r="HV842" s="1824"/>
      <c r="HW842" s="1824"/>
      <c r="HX842" s="1824"/>
      <c r="HY842" s="1824"/>
      <c r="HZ842" s="1824"/>
      <c r="IA842" s="1824"/>
      <c r="IB842" s="1824"/>
      <c r="IC842" s="1824"/>
      <c r="ID842" s="1824"/>
      <c r="IK842" s="1821"/>
      <c r="IL842" s="1821"/>
      <c r="JB842" s="1821"/>
    </row>
    <row r="843" spans="1:262" ht="12" customHeight="1">
      <c r="C843" s="1775" t="s">
        <v>4780</v>
      </c>
      <c r="D843" s="1775"/>
      <c r="E843" s="1830" t="s">
        <v>40</v>
      </c>
      <c r="F843" s="1629"/>
      <c r="G843" s="1631"/>
      <c r="J843" s="1865">
        <f t="shared" ref="J843:O843" si="265">SUM(J844:J851)</f>
        <v>0</v>
      </c>
      <c r="K843" s="1865">
        <f t="shared" si="265"/>
        <v>0</v>
      </c>
      <c r="L843" s="1865">
        <f t="shared" si="265"/>
        <v>6</v>
      </c>
      <c r="M843" s="1865">
        <f t="shared" si="265"/>
        <v>2</v>
      </c>
      <c r="N843" s="1865">
        <f t="shared" si="265"/>
        <v>0</v>
      </c>
      <c r="O843" s="1865">
        <f t="shared" si="265"/>
        <v>8</v>
      </c>
      <c r="R843" s="1775"/>
      <c r="S843" s="1775"/>
      <c r="T843" s="1775"/>
      <c r="U843" s="1775"/>
      <c r="V843" s="1775"/>
      <c r="W843" s="1629"/>
      <c r="Z843" s="1629"/>
      <c r="AA843" s="478"/>
      <c r="AB843" s="479"/>
      <c r="AC843" s="479"/>
      <c r="AD843" s="479"/>
      <c r="AE843" s="479"/>
      <c r="AF843" s="479"/>
      <c r="AG843" s="479"/>
      <c r="IK843" s="1821"/>
      <c r="IL843" s="1821"/>
      <c r="JB843" s="1821"/>
    </row>
    <row r="844" spans="1:262" ht="12" customHeight="1">
      <c r="C844" s="1775"/>
      <c r="D844" s="1775"/>
      <c r="E844" s="1830"/>
      <c r="F844" s="1629"/>
      <c r="H844" s="1872" t="s">
        <v>2621</v>
      </c>
      <c r="J844" s="1865">
        <f>GP805</f>
        <v>0</v>
      </c>
      <c r="K844" s="1865">
        <f>GQ805</f>
        <v>0</v>
      </c>
      <c r="L844" s="1865">
        <f>GR805</f>
        <v>0</v>
      </c>
      <c r="M844" s="1865">
        <f>GS805</f>
        <v>0</v>
      </c>
      <c r="N844" s="1865">
        <f>GT805</f>
        <v>0</v>
      </c>
      <c r="O844" s="1865">
        <f t="shared" ref="O844:O859" si="266">SUM(J844:N844)</f>
        <v>0</v>
      </c>
      <c r="R844" s="1775"/>
      <c r="S844" s="1775"/>
      <c r="T844" s="1775"/>
      <c r="U844" s="1775"/>
      <c r="V844" s="1775"/>
      <c r="W844" s="1629"/>
      <c r="Z844" s="1629"/>
      <c r="AA844" s="478"/>
      <c r="AB844" s="479"/>
      <c r="AC844" s="479"/>
      <c r="AD844" s="479"/>
      <c r="AE844" s="479"/>
      <c r="AF844" s="479"/>
      <c r="AG844" s="479"/>
      <c r="IK844" s="1821"/>
      <c r="IL844" s="1821"/>
      <c r="JB844" s="1821"/>
    </row>
    <row r="845" spans="1:262" ht="12" customHeight="1">
      <c r="C845" s="1775"/>
      <c r="D845" s="1775"/>
      <c r="E845" s="1830"/>
      <c r="F845" s="1629"/>
      <c r="H845" s="1873" t="s">
        <v>3378</v>
      </c>
      <c r="J845" s="1865">
        <f>GU805</f>
        <v>0</v>
      </c>
      <c r="K845" s="1865">
        <f>GV805</f>
        <v>0</v>
      </c>
      <c r="L845" s="1865">
        <f>GW805</f>
        <v>0</v>
      </c>
      <c r="M845" s="1865">
        <f>GX805</f>
        <v>0</v>
      </c>
      <c r="N845" s="1865">
        <f>GY805</f>
        <v>0</v>
      </c>
      <c r="O845" s="1865">
        <f t="shared" si="266"/>
        <v>0</v>
      </c>
      <c r="R845" s="1775"/>
      <c r="S845" s="1775"/>
      <c r="T845" s="1775"/>
      <c r="U845" s="1775"/>
      <c r="V845" s="1775"/>
      <c r="W845" s="1629"/>
      <c r="Z845" s="1629"/>
      <c r="AA845" s="478"/>
      <c r="AB845" s="479"/>
      <c r="AC845" s="479"/>
      <c r="AD845" s="479"/>
      <c r="AE845" s="479"/>
      <c r="AF845" s="479"/>
      <c r="AG845" s="479"/>
      <c r="IK845" s="1821"/>
      <c r="IL845" s="1821"/>
      <c r="JB845" s="1821"/>
    </row>
    <row r="846" spans="1:262" ht="12" customHeight="1">
      <c r="C846" s="1775"/>
      <c r="D846" s="1775"/>
      <c r="E846" s="1830"/>
      <c r="F846" s="1629"/>
      <c r="H846" s="1872" t="s">
        <v>2622</v>
      </c>
      <c r="J846" s="1865">
        <f>GZ805</f>
        <v>0</v>
      </c>
      <c r="K846" s="1865">
        <f>HA805</f>
        <v>0</v>
      </c>
      <c r="L846" s="1865">
        <f>HB805</f>
        <v>0</v>
      </c>
      <c r="M846" s="1865">
        <f>HC805</f>
        <v>0</v>
      </c>
      <c r="N846" s="1865">
        <f>HD805</f>
        <v>0</v>
      </c>
      <c r="O846" s="1865">
        <f t="shared" si="266"/>
        <v>0</v>
      </c>
      <c r="R846" s="1775"/>
      <c r="S846" s="1775"/>
      <c r="T846" s="1775"/>
      <c r="U846" s="1775"/>
      <c r="V846" s="1775"/>
      <c r="W846" s="1629"/>
      <c r="Z846" s="1629"/>
      <c r="AA846" s="478"/>
      <c r="AB846" s="479"/>
      <c r="AC846" s="479"/>
      <c r="AD846" s="479"/>
      <c r="AE846" s="479"/>
      <c r="AF846" s="479"/>
      <c r="AG846" s="479"/>
      <c r="IK846" s="1821"/>
      <c r="IL846" s="1821"/>
      <c r="JB846" s="1821"/>
    </row>
    <row r="847" spans="1:262" ht="12" customHeight="1">
      <c r="C847" s="1775"/>
      <c r="D847" s="1775"/>
      <c r="E847" s="1830"/>
      <c r="F847" s="1629"/>
      <c r="H847" s="1873" t="s">
        <v>3378</v>
      </c>
      <c r="J847" s="1865">
        <f>HE805</f>
        <v>0</v>
      </c>
      <c r="K847" s="1865">
        <f>HF805</f>
        <v>0</v>
      </c>
      <c r="L847" s="1865">
        <f>HG805</f>
        <v>0</v>
      </c>
      <c r="M847" s="1865">
        <f>HH805</f>
        <v>0</v>
      </c>
      <c r="N847" s="1865">
        <f>HI805</f>
        <v>0</v>
      </c>
      <c r="O847" s="1865">
        <f t="shared" si="266"/>
        <v>0</v>
      </c>
      <c r="R847" s="1775"/>
      <c r="S847" s="1775"/>
      <c r="T847" s="1775"/>
      <c r="U847" s="1775"/>
      <c r="V847" s="1775"/>
      <c r="W847" s="1629"/>
      <c r="Z847" s="1629"/>
      <c r="AA847" s="478"/>
      <c r="AB847" s="479"/>
      <c r="AC847" s="479"/>
      <c r="AD847" s="479"/>
      <c r="AE847" s="479"/>
      <c r="AF847" s="479"/>
      <c r="AG847" s="479"/>
      <c r="IK847" s="1821"/>
      <c r="IL847" s="1821"/>
      <c r="JB847" s="1821"/>
    </row>
    <row r="848" spans="1:262" ht="12" customHeight="1">
      <c r="C848" s="1775"/>
      <c r="D848" s="1775"/>
      <c r="E848" s="1830"/>
      <c r="F848" s="1629"/>
      <c r="H848" s="1872" t="s">
        <v>2624</v>
      </c>
      <c r="J848" s="1865">
        <f>HJ805</f>
        <v>0</v>
      </c>
      <c r="K848" s="1865">
        <f>HK805</f>
        <v>0</v>
      </c>
      <c r="L848" s="1865">
        <f>HL805</f>
        <v>6</v>
      </c>
      <c r="M848" s="1865">
        <f>HM805</f>
        <v>2</v>
      </c>
      <c r="N848" s="1865">
        <f>HN805</f>
        <v>0</v>
      </c>
      <c r="O848" s="1865">
        <f t="shared" si="266"/>
        <v>8</v>
      </c>
      <c r="R848" s="1775"/>
      <c r="S848" s="1775"/>
      <c r="T848" s="1775"/>
      <c r="U848" s="1775"/>
      <c r="V848" s="1775"/>
      <c r="W848" s="1629"/>
      <c r="Z848" s="1629"/>
      <c r="AA848" s="478"/>
      <c r="AB848" s="479"/>
      <c r="AC848" s="479"/>
      <c r="AD848" s="479"/>
      <c r="AE848" s="479"/>
      <c r="AF848" s="479"/>
      <c r="AG848" s="479"/>
      <c r="IK848" s="1821"/>
      <c r="IL848" s="1821"/>
      <c r="JB848" s="1821"/>
    </row>
    <row r="849" spans="3:262" ht="12" customHeight="1">
      <c r="C849" s="1775"/>
      <c r="D849" s="1775"/>
      <c r="E849" s="1830"/>
      <c r="F849" s="1629"/>
      <c r="H849" s="1873" t="s">
        <v>3378</v>
      </c>
      <c r="J849" s="1865">
        <f>HO805</f>
        <v>0</v>
      </c>
      <c r="K849" s="1865">
        <f>HP805</f>
        <v>0</v>
      </c>
      <c r="L849" s="1865">
        <f>HQ805</f>
        <v>0</v>
      </c>
      <c r="M849" s="1865">
        <f>HR805</f>
        <v>0</v>
      </c>
      <c r="N849" s="1865">
        <f>HS805</f>
        <v>0</v>
      </c>
      <c r="O849" s="1865">
        <f t="shared" si="266"/>
        <v>0</v>
      </c>
      <c r="R849" s="1775"/>
      <c r="S849" s="1775"/>
      <c r="T849" s="1775"/>
      <c r="U849" s="1775"/>
      <c r="V849" s="1775"/>
      <c r="W849" s="1629"/>
      <c r="Z849" s="1629"/>
      <c r="AA849" s="478"/>
      <c r="AB849" s="479"/>
      <c r="AC849" s="479"/>
      <c r="AD849" s="479"/>
      <c r="AE849" s="479"/>
      <c r="AF849" s="479"/>
      <c r="AG849" s="479"/>
      <c r="IK849" s="1821"/>
      <c r="IL849" s="1821"/>
      <c r="JB849" s="1821"/>
    </row>
    <row r="850" spans="3:262" ht="12" customHeight="1">
      <c r="C850" s="1775"/>
      <c r="D850" s="1775"/>
      <c r="E850" s="1830"/>
      <c r="F850" s="1629"/>
      <c r="H850" s="1872" t="s">
        <v>2623</v>
      </c>
      <c r="J850" s="1865">
        <f>HT805</f>
        <v>0</v>
      </c>
      <c r="K850" s="1865">
        <f>HU805</f>
        <v>0</v>
      </c>
      <c r="L850" s="1865">
        <f>HV805</f>
        <v>0</v>
      </c>
      <c r="M850" s="1865">
        <f>HW805</f>
        <v>0</v>
      </c>
      <c r="N850" s="1865">
        <f>HX805</f>
        <v>0</v>
      </c>
      <c r="O850" s="1865">
        <f t="shared" si="266"/>
        <v>0</v>
      </c>
      <c r="R850" s="1775"/>
      <c r="S850" s="1775"/>
      <c r="T850" s="1775"/>
      <c r="U850" s="1775"/>
      <c r="V850" s="1775"/>
      <c r="W850" s="1629"/>
      <c r="Z850" s="1629"/>
      <c r="AA850" s="478"/>
      <c r="AB850" s="479"/>
      <c r="AC850" s="479"/>
      <c r="AD850" s="479"/>
      <c r="AE850" s="479"/>
      <c r="AF850" s="479"/>
      <c r="AG850" s="479"/>
      <c r="IK850" s="1821"/>
      <c r="IL850" s="1821"/>
      <c r="JB850" s="1821"/>
    </row>
    <row r="851" spans="3:262" ht="12" customHeight="1">
      <c r="C851" s="1775"/>
      <c r="D851" s="1775"/>
      <c r="E851" s="1830"/>
      <c r="F851" s="1629"/>
      <c r="H851" s="1873" t="s">
        <v>3378</v>
      </c>
      <c r="J851" s="1865">
        <f>HY805</f>
        <v>0</v>
      </c>
      <c r="K851" s="1865">
        <f>HZ805</f>
        <v>0</v>
      </c>
      <c r="L851" s="1865">
        <f>IA805</f>
        <v>0</v>
      </c>
      <c r="M851" s="1865">
        <f>IB805</f>
        <v>0</v>
      </c>
      <c r="N851" s="1865">
        <f>IC805</f>
        <v>0</v>
      </c>
      <c r="O851" s="1865">
        <f t="shared" si="266"/>
        <v>0</v>
      </c>
      <c r="R851" s="1775"/>
      <c r="S851" s="1775"/>
      <c r="T851" s="1775"/>
      <c r="U851" s="1775"/>
      <c r="V851" s="1775"/>
      <c r="W851" s="1629"/>
      <c r="Z851" s="1629"/>
      <c r="AA851" s="478"/>
      <c r="AB851" s="479"/>
      <c r="AC851" s="479"/>
      <c r="AD851" s="479"/>
      <c r="AE851" s="479"/>
      <c r="AF851" s="479"/>
      <c r="AG851" s="479"/>
      <c r="IK851" s="1821"/>
      <c r="IL851" s="1821"/>
      <c r="JB851" s="1821"/>
    </row>
    <row r="852" spans="3:262" ht="12" customHeight="1">
      <c r="E852" s="1830" t="s">
        <v>41</v>
      </c>
      <c r="F852" s="1629"/>
      <c r="H852" s="1872"/>
      <c r="J852" s="1865">
        <f>FB805</f>
        <v>0</v>
      </c>
      <c r="K852" s="1865">
        <f>FC805</f>
        <v>0</v>
      </c>
      <c r="L852" s="1865">
        <f>FD805</f>
        <v>0</v>
      </c>
      <c r="M852" s="1865">
        <f>FE805</f>
        <v>0</v>
      </c>
      <c r="N852" s="1865">
        <f>FF805</f>
        <v>0</v>
      </c>
      <c r="O852" s="1865">
        <f t="shared" si="266"/>
        <v>0</v>
      </c>
      <c r="R852" s="1775"/>
      <c r="S852" s="1775"/>
      <c r="T852" s="1775"/>
      <c r="U852" s="1775"/>
      <c r="V852" s="1775"/>
      <c r="W852" s="1629"/>
      <c r="Z852" s="1629"/>
      <c r="AA852" s="478"/>
      <c r="AB852" s="479"/>
      <c r="AC852" s="479"/>
      <c r="AD852" s="479"/>
      <c r="AE852" s="479"/>
      <c r="AF852" s="479"/>
      <c r="AG852" s="479"/>
      <c r="AH852" s="1156"/>
      <c r="AI852" s="1629"/>
      <c r="GT852" s="1824"/>
      <c r="GY852" s="1824"/>
      <c r="GZ852" s="1824"/>
      <c r="HA852" s="1824"/>
      <c r="HB852" s="1824"/>
      <c r="HC852" s="1824"/>
      <c r="HD852" s="1824"/>
      <c r="HE852" s="1824"/>
      <c r="HF852" s="1824"/>
      <c r="HG852" s="1824"/>
      <c r="HH852" s="1824"/>
      <c r="HI852" s="1824"/>
      <c r="HJ852" s="1824"/>
      <c r="HK852" s="1824"/>
      <c r="HL852" s="1824"/>
      <c r="HM852" s="1824"/>
      <c r="HN852" s="1824"/>
      <c r="HO852" s="1824"/>
      <c r="HP852" s="1824"/>
      <c r="HQ852" s="1824"/>
      <c r="HR852" s="1824"/>
      <c r="HS852" s="1824"/>
      <c r="HT852" s="1824"/>
      <c r="HU852" s="1824"/>
      <c r="HV852" s="1824"/>
      <c r="HW852" s="1824"/>
      <c r="HX852" s="1824"/>
      <c r="HY852" s="1824"/>
      <c r="HZ852" s="1824"/>
      <c r="IA852" s="1824"/>
      <c r="IB852" s="1824"/>
      <c r="IC852" s="1824"/>
      <c r="ID852" s="1824"/>
      <c r="IK852" s="1821"/>
      <c r="IL852" s="1821"/>
      <c r="JB852" s="1821"/>
    </row>
    <row r="853" spans="3:262" ht="12" customHeight="1">
      <c r="E853" s="1830"/>
      <c r="F853" s="1629"/>
      <c r="H853" s="1873" t="s">
        <v>3378</v>
      </c>
      <c r="J853" s="1865">
        <f>FG805</f>
        <v>0</v>
      </c>
      <c r="K853" s="1865">
        <f>FH805</f>
        <v>0</v>
      </c>
      <c r="L853" s="1865">
        <f>FI805</f>
        <v>0</v>
      </c>
      <c r="M853" s="1865">
        <f>FJ805</f>
        <v>0</v>
      </c>
      <c r="N853" s="1865">
        <f>FK805</f>
        <v>0</v>
      </c>
      <c r="O853" s="1865">
        <f t="shared" si="266"/>
        <v>0</v>
      </c>
      <c r="R853" s="1775"/>
      <c r="S853" s="1775"/>
      <c r="T853" s="1775"/>
      <c r="U853" s="1775"/>
      <c r="V853" s="1775"/>
      <c r="W853" s="1629"/>
      <c r="Z853" s="1629"/>
      <c r="AA853" s="478"/>
      <c r="AB853" s="479"/>
      <c r="AC853" s="479"/>
      <c r="AD853" s="479"/>
      <c r="AE853" s="479"/>
      <c r="AF853" s="479"/>
      <c r="AG853" s="479"/>
      <c r="AH853" s="1156"/>
      <c r="AI853" s="1629"/>
      <c r="GT853" s="1824"/>
      <c r="GY853" s="1824"/>
      <c r="GZ853" s="1824"/>
      <c r="HA853" s="1824"/>
      <c r="HB853" s="1824"/>
      <c r="HC853" s="1824"/>
      <c r="HD853" s="1824"/>
      <c r="HE853" s="1824"/>
      <c r="HF853" s="1824"/>
      <c r="HG853" s="1824"/>
      <c r="HH853" s="1824"/>
      <c r="HI853" s="1824"/>
      <c r="HJ853" s="1824"/>
      <c r="HK853" s="1824"/>
      <c r="HL853" s="1824"/>
      <c r="HM853" s="1824"/>
      <c r="HN853" s="1824"/>
      <c r="HO853" s="1824"/>
      <c r="HP853" s="1824"/>
      <c r="HQ853" s="1824"/>
      <c r="HR853" s="1824"/>
      <c r="HS853" s="1824"/>
      <c r="HT853" s="1824"/>
      <c r="HU853" s="1824"/>
      <c r="HV853" s="1824"/>
      <c r="HW853" s="1824"/>
      <c r="HX853" s="1824"/>
      <c r="HY853" s="1824"/>
      <c r="HZ853" s="1824"/>
      <c r="IA853" s="1824"/>
      <c r="IB853" s="1824"/>
      <c r="IC853" s="1824"/>
      <c r="ID853" s="1824"/>
      <c r="IK853" s="1821"/>
      <c r="IL853" s="1821"/>
      <c r="JB853" s="1821"/>
    </row>
    <row r="854" spans="3:262" ht="12" customHeight="1">
      <c r="C854" s="1629"/>
      <c r="D854" s="1629"/>
      <c r="E854" s="1830" t="s">
        <v>42</v>
      </c>
      <c r="F854" s="1629"/>
      <c r="H854" s="1872"/>
      <c r="J854" s="1865">
        <f>GF805</f>
        <v>0</v>
      </c>
      <c r="K854" s="1865">
        <f>GG805</f>
        <v>0</v>
      </c>
      <c r="L854" s="1865">
        <f>GH805</f>
        <v>15</v>
      </c>
      <c r="M854" s="1865">
        <f>GI805</f>
        <v>0</v>
      </c>
      <c r="N854" s="1865">
        <f>GJ805</f>
        <v>0</v>
      </c>
      <c r="O854" s="1865">
        <f t="shared" si="266"/>
        <v>15</v>
      </c>
      <c r="R854" s="1775"/>
      <c r="S854" s="1775"/>
      <c r="T854" s="1775"/>
      <c r="U854" s="1775"/>
      <c r="V854" s="1775"/>
      <c r="W854" s="1629"/>
      <c r="Z854" s="1629"/>
      <c r="AA854" s="478"/>
      <c r="AB854" s="479"/>
      <c r="AC854" s="479"/>
      <c r="AD854" s="479"/>
      <c r="AE854" s="479"/>
      <c r="AF854" s="479"/>
      <c r="AG854" s="479"/>
      <c r="IK854" s="1821"/>
      <c r="IL854" s="1821"/>
      <c r="JB854" s="1821"/>
    </row>
    <row r="855" spans="3:262" ht="12" customHeight="1">
      <c r="C855" s="1629"/>
      <c r="D855" s="1629"/>
      <c r="E855" s="1830"/>
      <c r="F855" s="1629"/>
      <c r="H855" s="1873" t="s">
        <v>3378</v>
      </c>
      <c r="J855" s="1865">
        <f>GK805</f>
        <v>0</v>
      </c>
      <c r="K855" s="1865">
        <f>GL805</f>
        <v>0</v>
      </c>
      <c r="L855" s="1865">
        <f>GM805</f>
        <v>0</v>
      </c>
      <c r="M855" s="1865">
        <f>GN805</f>
        <v>0</v>
      </c>
      <c r="N855" s="1865">
        <f>GO805</f>
        <v>0</v>
      </c>
      <c r="O855" s="1865">
        <f t="shared" si="266"/>
        <v>0</v>
      </c>
      <c r="R855" s="1775"/>
      <c r="S855" s="1775"/>
      <c r="T855" s="1775"/>
      <c r="U855" s="1775"/>
      <c r="V855" s="1775"/>
      <c r="W855" s="1629"/>
      <c r="Z855" s="1629"/>
      <c r="AA855" s="478"/>
      <c r="AB855" s="479"/>
      <c r="AC855" s="479"/>
      <c r="AD855" s="479"/>
      <c r="AE855" s="479"/>
      <c r="AF855" s="479"/>
      <c r="AG855" s="479"/>
      <c r="IK855" s="1821"/>
      <c r="IL855" s="1821"/>
      <c r="JB855" s="1821"/>
    </row>
    <row r="856" spans="3:262" ht="12" customHeight="1">
      <c r="C856" s="1629"/>
      <c r="D856" s="1629"/>
      <c r="E856" s="1830" t="s">
        <v>570</v>
      </c>
      <c r="F856" s="1629"/>
      <c r="H856" s="1872"/>
      <c r="J856" s="1865">
        <f>FV805</f>
        <v>0</v>
      </c>
      <c r="K856" s="1865">
        <f>FW805</f>
        <v>0</v>
      </c>
      <c r="L856" s="1865">
        <f>FX805</f>
        <v>24</v>
      </c>
      <c r="M856" s="1865">
        <f>FY805</f>
        <v>18</v>
      </c>
      <c r="N856" s="1865">
        <f>FZ805</f>
        <v>0</v>
      </c>
      <c r="O856" s="1865">
        <f t="shared" si="266"/>
        <v>42</v>
      </c>
      <c r="R856" s="1775"/>
      <c r="S856" s="1775"/>
      <c r="T856" s="1775"/>
      <c r="U856" s="1775"/>
      <c r="V856" s="1775"/>
      <c r="W856" s="1629"/>
      <c r="Z856" s="1629"/>
      <c r="AA856" s="478"/>
      <c r="AB856" s="479"/>
      <c r="AC856" s="479"/>
      <c r="AD856" s="479"/>
      <c r="AE856" s="479"/>
      <c r="AF856" s="479"/>
      <c r="AG856" s="479"/>
      <c r="AH856" s="1156"/>
      <c r="AI856" s="1629"/>
      <c r="GT856" s="1824"/>
      <c r="GY856" s="1824"/>
      <c r="GZ856" s="1824"/>
      <c r="HA856" s="1824"/>
      <c r="HB856" s="1824"/>
      <c r="HC856" s="1824"/>
      <c r="HD856" s="1824"/>
      <c r="HE856" s="1824"/>
      <c r="HF856" s="1824"/>
      <c r="HG856" s="1824"/>
      <c r="HH856" s="1824"/>
      <c r="HI856" s="1824"/>
      <c r="HJ856" s="1824"/>
      <c r="HK856" s="1824"/>
      <c r="HL856" s="1824"/>
      <c r="HM856" s="1824"/>
      <c r="HN856" s="1824"/>
      <c r="HO856" s="1824"/>
      <c r="HP856" s="1824"/>
      <c r="HQ856" s="1824"/>
      <c r="HR856" s="1824"/>
      <c r="HS856" s="1824"/>
      <c r="HT856" s="1824"/>
      <c r="HU856" s="1824"/>
      <c r="HV856" s="1824"/>
      <c r="HW856" s="1824"/>
      <c r="HX856" s="1824"/>
      <c r="HY856" s="1824"/>
      <c r="HZ856" s="1824"/>
      <c r="IA856" s="1824"/>
      <c r="IB856" s="1824"/>
      <c r="IC856" s="1824"/>
      <c r="ID856" s="1824"/>
      <c r="IK856" s="1821"/>
      <c r="IL856" s="1821"/>
      <c r="JB856" s="1821"/>
    </row>
    <row r="857" spans="3:262" ht="12" customHeight="1">
      <c r="C857" s="1629"/>
      <c r="D857" s="1629"/>
      <c r="E857" s="1830"/>
      <c r="F857" s="1629"/>
      <c r="H857" s="1873" t="s">
        <v>3378</v>
      </c>
      <c r="J857" s="1865">
        <f>GA805</f>
        <v>0</v>
      </c>
      <c r="K857" s="1865">
        <f>GB805</f>
        <v>0</v>
      </c>
      <c r="L857" s="1865">
        <f>GC805</f>
        <v>0</v>
      </c>
      <c r="M857" s="1865">
        <f>GD805</f>
        <v>0</v>
      </c>
      <c r="N857" s="1865">
        <f>GE805</f>
        <v>0</v>
      </c>
      <c r="O857" s="1865">
        <f t="shared" si="266"/>
        <v>0</v>
      </c>
      <c r="R857" s="1775"/>
      <c r="S857" s="1775"/>
      <c r="T857" s="1775"/>
      <c r="U857" s="1775"/>
      <c r="V857" s="1775"/>
      <c r="W857" s="1629"/>
      <c r="Z857" s="1629"/>
      <c r="AA857" s="478"/>
      <c r="AB857" s="479"/>
      <c r="AC857" s="479"/>
      <c r="AD857" s="479"/>
      <c r="AE857" s="479"/>
      <c r="AF857" s="479"/>
      <c r="AG857" s="479"/>
      <c r="AH857" s="1156"/>
      <c r="AI857" s="1629"/>
      <c r="GT857" s="1824"/>
      <c r="GY857" s="1824"/>
      <c r="GZ857" s="1824"/>
      <c r="HA857" s="1824"/>
      <c r="HB857" s="1824"/>
      <c r="HC857" s="1824"/>
      <c r="HD857" s="1824"/>
      <c r="HE857" s="1824"/>
      <c r="HF857" s="1824"/>
      <c r="HG857" s="1824"/>
      <c r="HH857" s="1824"/>
      <c r="HI857" s="1824"/>
      <c r="HJ857" s="1824"/>
      <c r="HK857" s="1824"/>
      <c r="HL857" s="1824"/>
      <c r="HM857" s="1824"/>
      <c r="HN857" s="1824"/>
      <c r="HO857" s="1824"/>
      <c r="HP857" s="1824"/>
      <c r="HQ857" s="1824"/>
      <c r="HR857" s="1824"/>
      <c r="HS857" s="1824"/>
      <c r="HT857" s="1824"/>
      <c r="HU857" s="1824"/>
      <c r="HV857" s="1824"/>
      <c r="HW857" s="1824"/>
      <c r="HX857" s="1824"/>
      <c r="HY857" s="1824"/>
      <c r="HZ857" s="1824"/>
      <c r="IA857" s="1824"/>
      <c r="IB857" s="1824"/>
      <c r="IC857" s="1824"/>
      <c r="ID857" s="1824"/>
      <c r="IK857" s="1821"/>
      <c r="IL857" s="1821"/>
      <c r="JB857" s="1821"/>
    </row>
    <row r="858" spans="3:262" ht="12" customHeight="1">
      <c r="C858" s="1629"/>
      <c r="D858" s="1629"/>
      <c r="E858" s="1330" t="s">
        <v>571</v>
      </c>
      <c r="F858" s="1629"/>
      <c r="H858" s="1872"/>
      <c r="J858" s="1865">
        <f>FL805</f>
        <v>0</v>
      </c>
      <c r="K858" s="1865">
        <f>FM805</f>
        <v>0</v>
      </c>
      <c r="L858" s="1865">
        <f>FN805</f>
        <v>0</v>
      </c>
      <c r="M858" s="1865">
        <f>FO805</f>
        <v>0</v>
      </c>
      <c r="N858" s="1865">
        <f>FP805</f>
        <v>0</v>
      </c>
      <c r="O858" s="1865">
        <f t="shared" si="266"/>
        <v>0</v>
      </c>
      <c r="R858" s="1775"/>
      <c r="S858" s="1775"/>
      <c r="T858" s="1775"/>
      <c r="U858" s="1775"/>
      <c r="V858" s="1775"/>
      <c r="W858" s="1629"/>
      <c r="Z858" s="1629"/>
      <c r="AA858" s="478"/>
      <c r="AB858" s="479"/>
      <c r="AC858" s="479"/>
      <c r="AD858" s="479"/>
      <c r="AE858" s="479"/>
      <c r="AF858" s="479"/>
      <c r="AG858" s="479"/>
      <c r="IK858" s="1821"/>
      <c r="IL858" s="1821"/>
      <c r="JB858" s="1821"/>
    </row>
    <row r="859" spans="3:262" ht="12" customHeight="1">
      <c r="C859" s="1629"/>
      <c r="D859" s="1629"/>
      <c r="E859" s="1330"/>
      <c r="F859" s="1629"/>
      <c r="H859" s="1873" t="s">
        <v>3378</v>
      </c>
      <c r="J859" s="1865">
        <f>FQ805</f>
        <v>0</v>
      </c>
      <c r="K859" s="1865">
        <f>FR805</f>
        <v>0</v>
      </c>
      <c r="L859" s="1865">
        <f>FS805</f>
        <v>0</v>
      </c>
      <c r="M859" s="1865">
        <f>FT805</f>
        <v>0</v>
      </c>
      <c r="N859" s="1865">
        <f>FU805</f>
        <v>0</v>
      </c>
      <c r="O859" s="1865">
        <f t="shared" si="266"/>
        <v>0</v>
      </c>
      <c r="R859" s="1775"/>
      <c r="S859" s="1775"/>
      <c r="T859" s="1775"/>
      <c r="U859" s="1775"/>
      <c r="V859" s="1775"/>
      <c r="W859" s="1629"/>
      <c r="Z859" s="1629"/>
      <c r="AA859" s="478"/>
      <c r="AB859" s="479"/>
      <c r="AC859" s="479"/>
      <c r="AD859" s="479"/>
      <c r="AE859" s="479"/>
      <c r="AF859" s="479"/>
      <c r="AG859" s="479"/>
      <c r="IK859" s="1821"/>
      <c r="IL859" s="1821"/>
      <c r="JB859" s="1821"/>
    </row>
    <row r="860" spans="3:262" ht="10.5" customHeight="1">
      <c r="C860" s="1629"/>
      <c r="H860" s="1874"/>
      <c r="J860" s="1875"/>
      <c r="K860" s="1875"/>
      <c r="L860" s="1875"/>
      <c r="M860" s="1875"/>
      <c r="N860" s="1875"/>
      <c r="O860" s="1875"/>
      <c r="R860" s="1632" t="str">
        <f>C861</f>
        <v>Building Type:
(for Cost Limit purposes only)</v>
      </c>
      <c r="GT860" s="1824"/>
      <c r="GY860" s="1824"/>
      <c r="GZ860" s="1824"/>
      <c r="HA860" s="1824"/>
      <c r="HB860" s="1824"/>
      <c r="HC860" s="1824"/>
      <c r="HD860" s="1824"/>
      <c r="HE860" s="1824"/>
      <c r="HF860" s="1824"/>
      <c r="HG860" s="1824"/>
      <c r="HH860" s="1824"/>
      <c r="HI860" s="1824"/>
      <c r="HJ860" s="1824"/>
      <c r="HK860" s="1824"/>
      <c r="HL860" s="1824"/>
      <c r="HM860" s="1824"/>
      <c r="HN860" s="1824"/>
      <c r="HO860" s="1824"/>
      <c r="HP860" s="1824"/>
      <c r="HQ860" s="1824"/>
      <c r="HR860" s="1824"/>
      <c r="HS860" s="1824"/>
      <c r="HT860" s="1824"/>
      <c r="HU860" s="1824"/>
      <c r="HV860" s="1824"/>
      <c r="HW860" s="1824"/>
      <c r="HX860" s="1824"/>
      <c r="HY860" s="1824"/>
      <c r="HZ860" s="1824"/>
      <c r="IA860" s="1824"/>
      <c r="IB860" s="1824"/>
      <c r="IC860" s="1824"/>
      <c r="ID860" s="1824"/>
      <c r="IK860" s="1821"/>
      <c r="JA860" s="1821"/>
      <c r="JB860" s="1821"/>
    </row>
    <row r="861" spans="3:262" ht="12" customHeight="1">
      <c r="C861" s="1775" t="s">
        <v>4781</v>
      </c>
      <c r="D861" s="1775"/>
      <c r="E861" s="1830" t="s">
        <v>3373</v>
      </c>
      <c r="F861" s="1631"/>
      <c r="H861" s="1872"/>
      <c r="J861" s="1865">
        <f t="shared" ref="J861:N862" si="267">J852+J856+J858</f>
        <v>0</v>
      </c>
      <c r="K861" s="1865">
        <f t="shared" si="267"/>
        <v>0</v>
      </c>
      <c r="L861" s="1865">
        <f t="shared" si="267"/>
        <v>24</v>
      </c>
      <c r="M861" s="1865">
        <f t="shared" si="267"/>
        <v>18</v>
      </c>
      <c r="N861" s="1865">
        <f t="shared" si="267"/>
        <v>0</v>
      </c>
      <c r="O861" s="1865">
        <f t="shared" ref="O861:O868" si="268">SUM(J861:N861)</f>
        <v>42</v>
      </c>
      <c r="R861" s="1775"/>
      <c r="S861" s="1775"/>
      <c r="T861" s="1775"/>
      <c r="U861" s="1775"/>
      <c r="V861" s="1775"/>
      <c r="W861" s="1629"/>
      <c r="Z861" s="1629"/>
      <c r="AA861" s="478"/>
      <c r="AB861" s="479"/>
      <c r="AC861" s="479"/>
      <c r="AD861" s="479"/>
      <c r="AE861" s="479"/>
      <c r="AF861" s="479"/>
      <c r="AG861" s="479"/>
      <c r="IK861" s="1821"/>
      <c r="IL861" s="1821"/>
      <c r="JB861" s="1821"/>
    </row>
    <row r="862" spans="3:262" ht="12" customHeight="1">
      <c r="C862" s="1775"/>
      <c r="D862" s="1775"/>
      <c r="E862" s="1830"/>
      <c r="F862" s="1631"/>
      <c r="H862" s="1873" t="s">
        <v>3378</v>
      </c>
      <c r="J862" s="1865">
        <f t="shared" si="267"/>
        <v>0</v>
      </c>
      <c r="K862" s="1865">
        <f t="shared" si="267"/>
        <v>0</v>
      </c>
      <c r="L862" s="1865">
        <f t="shared" si="267"/>
        <v>0</v>
      </c>
      <c r="M862" s="1865">
        <f t="shared" si="267"/>
        <v>0</v>
      </c>
      <c r="N862" s="1865">
        <f t="shared" si="267"/>
        <v>0</v>
      </c>
      <c r="O862" s="1865">
        <f t="shared" si="268"/>
        <v>0</v>
      </c>
      <c r="R862" s="1775"/>
      <c r="S862" s="1775"/>
      <c r="T862" s="1775"/>
      <c r="U862" s="1775"/>
      <c r="V862" s="1775"/>
      <c r="W862" s="1629"/>
      <c r="Z862" s="1629"/>
      <c r="AA862" s="478"/>
      <c r="AB862" s="479"/>
      <c r="AC862" s="479"/>
      <c r="AD862" s="479"/>
      <c r="AE862" s="479"/>
      <c r="AF862" s="479"/>
      <c r="AG862" s="479"/>
      <c r="IK862" s="1821"/>
      <c r="IL862" s="1821"/>
      <c r="JB862" s="1821"/>
    </row>
    <row r="863" spans="3:262" ht="12" customHeight="1">
      <c r="C863" s="1775"/>
      <c r="D863" s="1775"/>
      <c r="E863" s="1830" t="s">
        <v>3374</v>
      </c>
      <c r="F863" s="1631"/>
      <c r="H863" s="1631"/>
      <c r="J863" s="1865">
        <f>J844+J854</f>
        <v>0</v>
      </c>
      <c r="K863" s="1865">
        <f t="shared" ref="K863:N864" si="269">K844+K854</f>
        <v>0</v>
      </c>
      <c r="L863" s="1865">
        <f t="shared" si="269"/>
        <v>15</v>
      </c>
      <c r="M863" s="1865">
        <f t="shared" si="269"/>
        <v>0</v>
      </c>
      <c r="N863" s="1865">
        <f t="shared" si="269"/>
        <v>0</v>
      </c>
      <c r="O863" s="1865">
        <f t="shared" si="268"/>
        <v>15</v>
      </c>
      <c r="R863" s="1775"/>
      <c r="S863" s="1775"/>
      <c r="T863" s="1775"/>
      <c r="U863" s="1775"/>
      <c r="V863" s="1775"/>
      <c r="W863" s="1629"/>
      <c r="Z863" s="1629"/>
      <c r="AA863" s="478"/>
      <c r="AB863" s="479"/>
      <c r="AC863" s="479"/>
      <c r="AD863" s="479"/>
      <c r="AE863" s="479"/>
      <c r="AF863" s="479"/>
      <c r="AG863" s="479"/>
      <c r="IK863" s="1821"/>
      <c r="IL863" s="1821"/>
      <c r="JB863" s="1821"/>
    </row>
    <row r="864" spans="3:262" ht="12" customHeight="1">
      <c r="C864" s="1775"/>
      <c r="D864" s="1775"/>
      <c r="E864" s="1830"/>
      <c r="F864" s="1631"/>
      <c r="H864" s="1873" t="s">
        <v>3378</v>
      </c>
      <c r="J864" s="1865">
        <f>J845+J855</f>
        <v>0</v>
      </c>
      <c r="K864" s="1865">
        <f t="shared" si="269"/>
        <v>0</v>
      </c>
      <c r="L864" s="1865">
        <f t="shared" si="269"/>
        <v>0</v>
      </c>
      <c r="M864" s="1865">
        <f t="shared" si="269"/>
        <v>0</v>
      </c>
      <c r="N864" s="1865">
        <f t="shared" si="269"/>
        <v>0</v>
      </c>
      <c r="O864" s="1865">
        <f t="shared" si="268"/>
        <v>0</v>
      </c>
      <c r="R864" s="1775"/>
      <c r="S864" s="1775"/>
      <c r="T864" s="1775"/>
      <c r="U864" s="1775"/>
      <c r="V864" s="1775"/>
      <c r="W864" s="1629"/>
      <c r="Z864" s="1629"/>
      <c r="AA864" s="478"/>
      <c r="AB864" s="479"/>
      <c r="AC864" s="479"/>
      <c r="AD864" s="479"/>
      <c r="AE864" s="479"/>
      <c r="AF864" s="479"/>
      <c r="AG864" s="479"/>
      <c r="IK864" s="1821"/>
      <c r="IL864" s="1821"/>
      <c r="JB864" s="1821"/>
    </row>
    <row r="865" spans="1:263" ht="12" customHeight="1">
      <c r="C865" s="1775"/>
      <c r="D865" s="1775"/>
      <c r="E865" s="1830" t="s">
        <v>3375</v>
      </c>
      <c r="F865" s="1631"/>
      <c r="H865" s="1872"/>
      <c r="J865" s="1865">
        <f>J848</f>
        <v>0</v>
      </c>
      <c r="K865" s="1865">
        <f t="shared" ref="K865:N866" si="270">K848</f>
        <v>0</v>
      </c>
      <c r="L865" s="1865">
        <f t="shared" si="270"/>
        <v>6</v>
      </c>
      <c r="M865" s="1865">
        <f t="shared" si="270"/>
        <v>2</v>
      </c>
      <c r="N865" s="1865">
        <f t="shared" si="270"/>
        <v>0</v>
      </c>
      <c r="O865" s="1865">
        <f t="shared" si="268"/>
        <v>8</v>
      </c>
      <c r="R865" s="1775"/>
      <c r="S865" s="1775"/>
      <c r="T865" s="1775"/>
      <c r="U865" s="1775"/>
      <c r="V865" s="1775"/>
      <c r="W865" s="1629"/>
      <c r="Z865" s="1629"/>
      <c r="AA865" s="478"/>
      <c r="AB865" s="479"/>
      <c r="AC865" s="479"/>
      <c r="AD865" s="479"/>
      <c r="AE865" s="479"/>
      <c r="AF865" s="479"/>
      <c r="AG865" s="479"/>
      <c r="IK865" s="1821"/>
      <c r="IL865" s="1821"/>
      <c r="JB865" s="1821"/>
    </row>
    <row r="866" spans="1:263" ht="12" customHeight="1">
      <c r="C866" s="1775"/>
      <c r="D866" s="1775"/>
      <c r="E866" s="1830"/>
      <c r="F866" s="1631"/>
      <c r="H866" s="1873" t="s">
        <v>3378</v>
      </c>
      <c r="J866" s="1865">
        <f>J849</f>
        <v>0</v>
      </c>
      <c r="K866" s="1865">
        <f t="shared" si="270"/>
        <v>0</v>
      </c>
      <c r="L866" s="1865">
        <f t="shared" si="270"/>
        <v>0</v>
      </c>
      <c r="M866" s="1865">
        <f t="shared" si="270"/>
        <v>0</v>
      </c>
      <c r="N866" s="1865">
        <f t="shared" si="270"/>
        <v>0</v>
      </c>
      <c r="O866" s="1865">
        <f t="shared" si="268"/>
        <v>0</v>
      </c>
      <c r="R866" s="1775"/>
      <c r="S866" s="1775"/>
      <c r="T866" s="1775"/>
      <c r="U866" s="1775"/>
      <c r="V866" s="1775"/>
      <c r="W866" s="1629"/>
      <c r="Z866" s="1629"/>
      <c r="AA866" s="478"/>
      <c r="AB866" s="479"/>
      <c r="AC866" s="479"/>
      <c r="AD866" s="479"/>
      <c r="AE866" s="479"/>
      <c r="AF866" s="479"/>
      <c r="AG866" s="479"/>
      <c r="IK866" s="1821"/>
      <c r="IL866" s="1821"/>
      <c r="JB866" s="1821"/>
    </row>
    <row r="867" spans="1:263" ht="12" customHeight="1">
      <c r="C867" s="1775"/>
      <c r="D867" s="1775"/>
      <c r="E867" s="1830" t="s">
        <v>3376</v>
      </c>
      <c r="F867" s="1631"/>
      <c r="H867" s="1872"/>
      <c r="J867" s="1865">
        <f>J846+J850</f>
        <v>0</v>
      </c>
      <c r="K867" s="1865">
        <f t="shared" ref="K867:N868" si="271">K846+K850</f>
        <v>0</v>
      </c>
      <c r="L867" s="1865">
        <f t="shared" si="271"/>
        <v>0</v>
      </c>
      <c r="M867" s="1865">
        <f t="shared" si="271"/>
        <v>0</v>
      </c>
      <c r="N867" s="1865">
        <f t="shared" si="271"/>
        <v>0</v>
      </c>
      <c r="O867" s="1865">
        <f t="shared" si="268"/>
        <v>0</v>
      </c>
      <c r="R867" s="1775"/>
      <c r="S867" s="1775"/>
      <c r="T867" s="1775"/>
      <c r="U867" s="1775"/>
      <c r="V867" s="1775"/>
      <c r="W867" s="1629"/>
      <c r="Z867" s="1629"/>
      <c r="AA867" s="478"/>
      <c r="AB867" s="479"/>
      <c r="AC867" s="479"/>
      <c r="AD867" s="479"/>
      <c r="AE867" s="479"/>
      <c r="AF867" s="479"/>
      <c r="AG867" s="479"/>
      <c r="IK867" s="1821"/>
      <c r="IL867" s="1821"/>
      <c r="JB867" s="1821"/>
    </row>
    <row r="868" spans="1:263" ht="12" customHeight="1">
      <c r="C868" s="1629"/>
      <c r="D868" s="1629"/>
      <c r="E868" s="1876"/>
      <c r="F868" s="1631"/>
      <c r="H868" s="1873" t="s">
        <v>3378</v>
      </c>
      <c r="J868" s="1865">
        <f>J847+J851</f>
        <v>0</v>
      </c>
      <c r="K868" s="1865">
        <f t="shared" si="271"/>
        <v>0</v>
      </c>
      <c r="L868" s="1865">
        <f t="shared" si="271"/>
        <v>0</v>
      </c>
      <c r="M868" s="1865">
        <f t="shared" si="271"/>
        <v>0</v>
      </c>
      <c r="N868" s="1865">
        <f t="shared" si="271"/>
        <v>0</v>
      </c>
      <c r="O868" s="1865">
        <f t="shared" si="268"/>
        <v>0</v>
      </c>
      <c r="R868" s="1775"/>
      <c r="S868" s="1775"/>
      <c r="T868" s="1775"/>
      <c r="U868" s="1775"/>
      <c r="V868" s="1775"/>
      <c r="W868" s="1629"/>
      <c r="Z868" s="1629"/>
      <c r="AA868" s="478"/>
      <c r="AB868" s="479"/>
      <c r="AC868" s="479"/>
      <c r="AD868" s="479"/>
      <c r="AE868" s="479"/>
      <c r="AF868" s="479"/>
      <c r="AG868" s="479"/>
      <c r="IK868" s="1821"/>
      <c r="IL868" s="1821"/>
      <c r="JB868" s="1821"/>
    </row>
    <row r="869" spans="1:263" ht="12" customHeight="1">
      <c r="A869" s="1821"/>
      <c r="B869" s="1821" t="s">
        <v>2181</v>
      </c>
      <c r="C869" s="1629"/>
      <c r="D869" s="1629"/>
      <c r="E869" s="1629"/>
      <c r="F869" s="1629"/>
      <c r="H869" s="1872"/>
      <c r="J869" s="1877"/>
      <c r="K869" s="1877"/>
      <c r="L869" s="1877"/>
      <c r="M869" s="1877"/>
      <c r="N869" s="1877"/>
      <c r="O869" s="1877"/>
      <c r="R869" s="1656" t="str">
        <f>B869</f>
        <v>Unit Square Footage:</v>
      </c>
      <c r="S869" s="1656"/>
      <c r="T869" s="1656"/>
      <c r="W869" s="1629"/>
      <c r="Z869" s="1629"/>
      <c r="AA869" s="478"/>
      <c r="AB869" s="1629"/>
      <c r="AC869" s="1629"/>
      <c r="AD869" s="1629"/>
      <c r="AE869" s="1629"/>
      <c r="AF869" s="1629"/>
      <c r="AG869" s="1629"/>
      <c r="AI869" s="1629"/>
      <c r="GT869" s="1824"/>
      <c r="GY869" s="1824"/>
      <c r="GZ869" s="1824"/>
      <c r="HA869" s="1824"/>
      <c r="HB869" s="1824"/>
      <c r="HC869" s="1824"/>
      <c r="HD869" s="1824"/>
      <c r="HE869" s="1824"/>
      <c r="HF869" s="1824"/>
      <c r="HG869" s="1824"/>
      <c r="HH869" s="1824"/>
      <c r="HI869" s="1824"/>
      <c r="HJ869" s="1824"/>
      <c r="HK869" s="1824"/>
      <c r="HL869" s="1824"/>
      <c r="HM869" s="1824"/>
      <c r="HN869" s="1824"/>
      <c r="HO869" s="1824"/>
      <c r="HP869" s="1824"/>
      <c r="HQ869" s="1824"/>
      <c r="HR869" s="1824"/>
      <c r="HS869" s="1824"/>
      <c r="HT869" s="1824"/>
      <c r="HU869" s="1824"/>
      <c r="HV869" s="1824"/>
      <c r="HW869" s="1824"/>
      <c r="HX869" s="1824"/>
      <c r="HY869" s="1824"/>
      <c r="HZ869" s="1824"/>
      <c r="IA869" s="1824"/>
      <c r="IB869" s="1824"/>
      <c r="IC869" s="1824"/>
      <c r="ID869" s="1824"/>
      <c r="IK869" s="1821"/>
      <c r="IL869" s="1821"/>
      <c r="JB869" s="1821"/>
    </row>
    <row r="870" spans="1:263" ht="12" customHeight="1">
      <c r="C870" s="1629" t="s">
        <v>2152</v>
      </c>
      <c r="D870" s="1629"/>
      <c r="E870" s="1629"/>
      <c r="F870" s="1629"/>
      <c r="H870" s="1872" t="s">
        <v>1159</v>
      </c>
      <c r="J870" s="1878">
        <f>BZ805</f>
        <v>0</v>
      </c>
      <c r="K870" s="1878">
        <f>CA805</f>
        <v>0</v>
      </c>
      <c r="L870" s="1878">
        <f>CB805</f>
        <v>34572</v>
      </c>
      <c r="M870" s="1878">
        <f>CC805</f>
        <v>19108</v>
      </c>
      <c r="N870" s="1878">
        <f>CD805</f>
        <v>0</v>
      </c>
      <c r="O870" s="1878">
        <f t="shared" ref="O870:O876" si="272">SUM(J870:N870)</f>
        <v>53680</v>
      </c>
      <c r="R870" s="1775"/>
      <c r="S870" s="1775"/>
      <c r="T870" s="1775"/>
      <c r="U870" s="1775"/>
      <c r="V870" s="1775"/>
      <c r="W870" s="1629"/>
      <c r="Z870" s="1629"/>
      <c r="AA870" s="478"/>
      <c r="AB870" s="479"/>
      <c r="AC870" s="479"/>
      <c r="AD870" s="479"/>
      <c r="AE870" s="479"/>
      <c r="AF870" s="479"/>
      <c r="AG870" s="479"/>
      <c r="AI870" s="1629"/>
      <c r="GT870" s="1824"/>
      <c r="GY870" s="1824"/>
      <c r="GZ870" s="1824"/>
      <c r="HA870" s="1824"/>
      <c r="HB870" s="1824"/>
      <c r="HC870" s="1824"/>
      <c r="HD870" s="1824"/>
      <c r="HE870" s="1824"/>
      <c r="HF870" s="1824"/>
      <c r="HG870" s="1824"/>
      <c r="HH870" s="1824"/>
      <c r="HI870" s="1824"/>
      <c r="HJ870" s="1824"/>
      <c r="HK870" s="1824"/>
      <c r="HL870" s="1824"/>
      <c r="HM870" s="1824"/>
      <c r="HN870" s="1824"/>
      <c r="HO870" s="1824"/>
      <c r="HP870" s="1824"/>
      <c r="HQ870" s="1824"/>
      <c r="HR870" s="1824"/>
      <c r="HS870" s="1824"/>
      <c r="HT870" s="1824"/>
      <c r="HU870" s="1824"/>
      <c r="HV870" s="1824"/>
      <c r="HW870" s="1824"/>
      <c r="HX870" s="1824"/>
      <c r="HY870" s="1824"/>
      <c r="HZ870" s="1824"/>
      <c r="IA870" s="1824"/>
      <c r="IB870" s="1824"/>
      <c r="IC870" s="1824"/>
      <c r="ID870" s="1824"/>
      <c r="IK870" s="1821"/>
      <c r="IL870" s="1821"/>
      <c r="JB870" s="1821"/>
    </row>
    <row r="871" spans="1:263" ht="12" customHeight="1">
      <c r="C871" s="1818"/>
      <c r="D871" s="1629"/>
      <c r="E871" s="1629"/>
      <c r="F871" s="1629"/>
      <c r="H871" s="1872" t="s">
        <v>119</v>
      </c>
      <c r="J871" s="1878">
        <f>CE805</f>
        <v>0</v>
      </c>
      <c r="K871" s="1878">
        <f>CF805</f>
        <v>0</v>
      </c>
      <c r="L871" s="1878">
        <f>CG805</f>
        <v>21036</v>
      </c>
      <c r="M871" s="1878">
        <f>CH805</f>
        <v>12692</v>
      </c>
      <c r="N871" s="1878">
        <f>CI805</f>
        <v>0</v>
      </c>
      <c r="O871" s="1878">
        <f t="shared" si="272"/>
        <v>33728</v>
      </c>
      <c r="R871" s="1775"/>
      <c r="S871" s="1775"/>
      <c r="T871" s="1775"/>
      <c r="U871" s="1775"/>
      <c r="V871" s="1775"/>
      <c r="W871" s="1818"/>
      <c r="Z871" s="1629"/>
      <c r="AA871" s="478"/>
      <c r="AB871" s="479"/>
      <c r="AC871" s="479"/>
      <c r="AD871" s="479"/>
      <c r="AE871" s="479"/>
      <c r="AF871" s="479"/>
      <c r="AG871" s="479"/>
      <c r="AH871" s="1629"/>
      <c r="AI871" s="1629"/>
      <c r="GT871" s="1824"/>
      <c r="GY871" s="1824"/>
      <c r="GZ871" s="1824"/>
      <c r="HA871" s="1824"/>
      <c r="HB871" s="1824"/>
      <c r="HC871" s="1824"/>
      <c r="HD871" s="1824"/>
      <c r="HE871" s="1824"/>
      <c r="HF871" s="1824"/>
      <c r="HG871" s="1824"/>
      <c r="HH871" s="1824"/>
      <c r="HI871" s="1824"/>
      <c r="HJ871" s="1824"/>
      <c r="HK871" s="1824"/>
      <c r="HL871" s="1824"/>
      <c r="HM871" s="1824"/>
      <c r="HN871" s="1824"/>
      <c r="HO871" s="1824"/>
      <c r="HP871" s="1824"/>
      <c r="HQ871" s="1824"/>
      <c r="HR871" s="1824"/>
      <c r="HS871" s="1824"/>
      <c r="HT871" s="1824"/>
      <c r="HU871" s="1824"/>
      <c r="HV871" s="1824"/>
      <c r="HW871" s="1824"/>
      <c r="HX871" s="1824"/>
      <c r="HY871" s="1824"/>
      <c r="HZ871" s="1824"/>
      <c r="IA871" s="1824"/>
      <c r="IB871" s="1824"/>
      <c r="IC871" s="1824"/>
      <c r="ID871" s="1824"/>
      <c r="IK871" s="1821"/>
      <c r="IL871" s="1821"/>
      <c r="JB871" s="1821"/>
    </row>
    <row r="872" spans="1:263" ht="12" customHeight="1">
      <c r="C872" s="1818"/>
      <c r="D872" s="1629"/>
      <c r="E872" s="1629"/>
      <c r="F872" s="1629"/>
      <c r="H872" s="1872" t="s">
        <v>544</v>
      </c>
      <c r="J872" s="1878">
        <f>SUM(J870:J871)</f>
        <v>0</v>
      </c>
      <c r="K872" s="1878">
        <f>SUM(K870:K871)</f>
        <v>0</v>
      </c>
      <c r="L872" s="1878">
        <f>SUM(L870:L871)</f>
        <v>55608</v>
      </c>
      <c r="M872" s="1878">
        <f>SUM(M870:M871)</f>
        <v>31800</v>
      </c>
      <c r="N872" s="1878">
        <f>SUM(N870:N871)</f>
        <v>0</v>
      </c>
      <c r="O872" s="1878">
        <f t="shared" si="272"/>
        <v>87408</v>
      </c>
      <c r="R872" s="1775"/>
      <c r="S872" s="1775"/>
      <c r="T872" s="1775"/>
      <c r="U872" s="1775"/>
      <c r="V872" s="1775"/>
      <c r="W872" s="1818"/>
      <c r="Z872" s="1629"/>
      <c r="AA872" s="478"/>
      <c r="AB872" s="479"/>
      <c r="AC872" s="479"/>
      <c r="AD872" s="479"/>
      <c r="AE872" s="479"/>
      <c r="AF872" s="479"/>
      <c r="AG872" s="479"/>
      <c r="AH872" s="1629"/>
      <c r="AI872" s="1629"/>
      <c r="GT872" s="1824"/>
      <c r="GY872" s="1824"/>
      <c r="GZ872" s="1824"/>
      <c r="HA872" s="1824"/>
      <c r="HB872" s="1824"/>
      <c r="HC872" s="1824"/>
      <c r="HD872" s="1824"/>
      <c r="HE872" s="1824"/>
      <c r="HF872" s="1824"/>
      <c r="HG872" s="1824"/>
      <c r="HH872" s="1824"/>
      <c r="HI872" s="1824"/>
      <c r="HJ872" s="1824"/>
      <c r="HK872" s="1824"/>
      <c r="HL872" s="1824"/>
      <c r="HM872" s="1824"/>
      <c r="HN872" s="1824"/>
      <c r="HO872" s="1824"/>
      <c r="HP872" s="1824"/>
      <c r="HQ872" s="1824"/>
      <c r="HR872" s="1824"/>
      <c r="HS872" s="1824"/>
      <c r="HT872" s="1824"/>
      <c r="HU872" s="1824"/>
      <c r="HV872" s="1824"/>
      <c r="HW872" s="1824"/>
      <c r="HX872" s="1824"/>
      <c r="HY872" s="1824"/>
      <c r="HZ872" s="1824"/>
      <c r="IA872" s="1824"/>
      <c r="IB872" s="1824"/>
      <c r="IC872" s="1824"/>
      <c r="ID872" s="1824"/>
      <c r="IK872" s="1821"/>
      <c r="IL872" s="1821"/>
      <c r="JB872" s="1821"/>
    </row>
    <row r="873" spans="1:263" ht="12" customHeight="1">
      <c r="C873" s="1629" t="s">
        <v>305</v>
      </c>
      <c r="D873" s="1629"/>
      <c r="E873" s="1629"/>
      <c r="F873" s="1629"/>
      <c r="G873" s="1629"/>
      <c r="J873" s="1878">
        <f>CO805</f>
        <v>0</v>
      </c>
      <c r="K873" s="1878">
        <f>CP805</f>
        <v>0</v>
      </c>
      <c r="L873" s="1878">
        <f>CQ805</f>
        <v>0</v>
      </c>
      <c r="M873" s="1878">
        <f>CR805</f>
        <v>0</v>
      </c>
      <c r="N873" s="1878">
        <f>CS805</f>
        <v>0</v>
      </c>
      <c r="O873" s="1878">
        <f t="shared" si="272"/>
        <v>0</v>
      </c>
      <c r="R873" s="1775"/>
      <c r="S873" s="1775"/>
      <c r="T873" s="1775"/>
      <c r="U873" s="1775"/>
      <c r="V873" s="1775"/>
      <c r="W873" s="1629"/>
      <c r="Z873" s="1629"/>
      <c r="AA873" s="1629"/>
      <c r="AB873" s="479"/>
      <c r="AC873" s="479"/>
      <c r="AD873" s="479"/>
      <c r="AE873" s="479"/>
      <c r="AF873" s="479"/>
      <c r="AG873" s="479"/>
      <c r="AI873" s="1629"/>
      <c r="GT873" s="1824"/>
      <c r="GY873" s="1824"/>
      <c r="GZ873" s="1824"/>
      <c r="HA873" s="1824"/>
      <c r="HB873" s="1824"/>
      <c r="HC873" s="1824"/>
      <c r="HD873" s="1824"/>
      <c r="HE873" s="1824"/>
      <c r="HF873" s="1824"/>
      <c r="HG873" s="1824"/>
      <c r="HH873" s="1824"/>
      <c r="HI873" s="1824"/>
      <c r="HJ873" s="1824"/>
      <c r="HK873" s="1824"/>
      <c r="HL873" s="1824"/>
      <c r="HM873" s="1824"/>
      <c r="HN873" s="1824"/>
      <c r="HO873" s="1824"/>
      <c r="HP873" s="1824"/>
      <c r="HQ873" s="1824"/>
      <c r="HR873" s="1824"/>
      <c r="HS873" s="1824"/>
      <c r="HT873" s="1824"/>
      <c r="HU873" s="1824"/>
      <c r="HV873" s="1824"/>
      <c r="HW873" s="1824"/>
      <c r="HX873" s="1824"/>
      <c r="HY873" s="1824"/>
      <c r="HZ873" s="1824"/>
      <c r="IA873" s="1824"/>
      <c r="IB873" s="1824"/>
      <c r="IC873" s="1824"/>
      <c r="ID873" s="1824"/>
      <c r="IK873" s="1821"/>
      <c r="IL873" s="1821"/>
      <c r="JB873" s="1821"/>
    </row>
    <row r="874" spans="1:263" ht="12" customHeight="1">
      <c r="C874" s="1629" t="s">
        <v>1148</v>
      </c>
      <c r="D874" s="1629"/>
      <c r="E874" s="1629"/>
      <c r="F874" s="1629"/>
      <c r="G874" s="1629"/>
      <c r="J874" s="1878">
        <f>SUM(J872:J873)</f>
        <v>0</v>
      </c>
      <c r="K874" s="1878">
        <f>SUM(K872:K873)</f>
        <v>0</v>
      </c>
      <c r="L874" s="1878">
        <f>SUM(L872:L873)</f>
        <v>55608</v>
      </c>
      <c r="M874" s="1878">
        <f>SUM(M872:M873)</f>
        <v>31800</v>
      </c>
      <c r="N874" s="1878">
        <f>SUM(N872:N873)</f>
        <v>0</v>
      </c>
      <c r="O874" s="1878">
        <f t="shared" si="272"/>
        <v>87408</v>
      </c>
      <c r="R874" s="1775"/>
      <c r="S874" s="1775"/>
      <c r="T874" s="1775"/>
      <c r="U874" s="1775"/>
      <c r="V874" s="1775"/>
      <c r="W874" s="1629"/>
      <c r="Z874" s="1629"/>
      <c r="AA874" s="1629"/>
      <c r="AB874" s="479"/>
      <c r="AC874" s="479"/>
      <c r="AD874" s="479"/>
      <c r="AE874" s="479"/>
      <c r="AF874" s="479"/>
      <c r="AG874" s="479"/>
      <c r="AI874" s="1629"/>
      <c r="GT874" s="1824"/>
      <c r="GY874" s="1824"/>
      <c r="GZ874" s="1824"/>
      <c r="HA874" s="1824"/>
      <c r="HB874" s="1824"/>
      <c r="HC874" s="1824"/>
      <c r="HD874" s="1824"/>
      <c r="HE874" s="1824"/>
      <c r="HF874" s="1824"/>
      <c r="HG874" s="1824"/>
      <c r="HH874" s="1824"/>
      <c r="HI874" s="1824"/>
      <c r="HJ874" s="1824"/>
      <c r="HK874" s="1824"/>
      <c r="HL874" s="1824"/>
      <c r="HM874" s="1824"/>
      <c r="HN874" s="1824"/>
      <c r="HO874" s="1824"/>
      <c r="HP874" s="1824"/>
      <c r="HQ874" s="1824"/>
      <c r="HR874" s="1824"/>
      <c r="HS874" s="1824"/>
      <c r="HT874" s="1824"/>
      <c r="HU874" s="1824"/>
      <c r="HV874" s="1824"/>
      <c r="HW874" s="1824"/>
      <c r="HX874" s="1824"/>
      <c r="HY874" s="1824"/>
      <c r="HZ874" s="1824"/>
      <c r="IA874" s="1824"/>
      <c r="IB874" s="1824"/>
      <c r="IC874" s="1824"/>
      <c r="ID874" s="1824"/>
      <c r="IK874" s="1821"/>
      <c r="IL874" s="1821"/>
      <c r="JB874" s="1821"/>
    </row>
    <row r="875" spans="1:263" ht="12" customHeight="1">
      <c r="C875" s="1629" t="s">
        <v>2528</v>
      </c>
      <c r="D875" s="1629"/>
      <c r="E875" s="1629"/>
      <c r="F875" s="1629"/>
      <c r="G875" s="1629"/>
      <c r="J875" s="1878">
        <f>CY805</f>
        <v>0</v>
      </c>
      <c r="K875" s="1878">
        <f>CZ805</f>
        <v>0</v>
      </c>
      <c r="L875" s="1878">
        <f>DA805</f>
        <v>0</v>
      </c>
      <c r="M875" s="1878">
        <f>DB805</f>
        <v>0</v>
      </c>
      <c r="N875" s="1878">
        <f>DC805</f>
        <v>0</v>
      </c>
      <c r="O875" s="1878">
        <f t="shared" si="272"/>
        <v>0</v>
      </c>
      <c r="R875" s="1775"/>
      <c r="S875" s="1775"/>
      <c r="T875" s="1775"/>
      <c r="U875" s="1775"/>
      <c r="V875" s="1775"/>
      <c r="W875" s="1629"/>
      <c r="Z875" s="1629"/>
      <c r="AA875" s="1629"/>
      <c r="AB875" s="479"/>
      <c r="AC875" s="479"/>
      <c r="AD875" s="479"/>
      <c r="AE875" s="479"/>
      <c r="AF875" s="479"/>
      <c r="AG875" s="479"/>
      <c r="AI875" s="1629"/>
      <c r="GT875" s="1824"/>
      <c r="GY875" s="1824"/>
      <c r="GZ875" s="1824"/>
      <c r="HA875" s="1824"/>
      <c r="HB875" s="1824"/>
      <c r="HC875" s="1824"/>
      <c r="HD875" s="1824"/>
      <c r="HE875" s="1824"/>
      <c r="HF875" s="1824"/>
      <c r="HG875" s="1824"/>
      <c r="HH875" s="1824"/>
      <c r="HI875" s="1824"/>
      <c r="HJ875" s="1824"/>
      <c r="HK875" s="1824"/>
      <c r="HL875" s="1824"/>
      <c r="HM875" s="1824"/>
      <c r="HN875" s="1824"/>
      <c r="HO875" s="1824"/>
      <c r="HP875" s="1824"/>
      <c r="HQ875" s="1824"/>
      <c r="HR875" s="1824"/>
      <c r="HS875" s="1824"/>
      <c r="HT875" s="1824"/>
      <c r="HU875" s="1824"/>
      <c r="HV875" s="1824"/>
      <c r="HW875" s="1824"/>
      <c r="HX875" s="1824"/>
      <c r="HY875" s="1824"/>
      <c r="HZ875" s="1824"/>
      <c r="IA875" s="1824"/>
      <c r="IB875" s="1824"/>
      <c r="IC875" s="1824"/>
      <c r="ID875" s="1824"/>
      <c r="IK875" s="1821"/>
      <c r="IL875" s="1821"/>
      <c r="JB875" s="1821"/>
    </row>
    <row r="876" spans="1:263" ht="12" customHeight="1">
      <c r="C876" s="1629" t="s">
        <v>544</v>
      </c>
      <c r="D876" s="1629"/>
      <c r="E876" s="1629"/>
      <c r="F876" s="1629"/>
      <c r="G876" s="1629"/>
      <c r="J876" s="1878">
        <f>SUM(J874:J875)</f>
        <v>0</v>
      </c>
      <c r="K876" s="1878">
        <f>SUM(K874:K875)</f>
        <v>0</v>
      </c>
      <c r="L876" s="1878">
        <f>SUM(L874:L875)</f>
        <v>55608</v>
      </c>
      <c r="M876" s="1878">
        <f>SUM(M874:M875)</f>
        <v>31800</v>
      </c>
      <c r="N876" s="1878">
        <f>SUM(N874:N875)</f>
        <v>0</v>
      </c>
      <c r="O876" s="1878">
        <f t="shared" si="272"/>
        <v>87408</v>
      </c>
      <c r="R876" s="1775"/>
      <c r="S876" s="1775"/>
      <c r="T876" s="1775"/>
      <c r="U876" s="1775"/>
      <c r="V876" s="1775"/>
      <c r="W876" s="1629"/>
      <c r="Z876" s="1629"/>
      <c r="AA876" s="1629"/>
      <c r="AB876" s="479"/>
      <c r="AC876" s="479"/>
      <c r="AD876" s="479"/>
      <c r="AE876" s="479"/>
      <c r="AF876" s="479"/>
      <c r="AG876" s="479"/>
      <c r="AI876" s="1629"/>
      <c r="GT876" s="1824"/>
      <c r="GY876" s="1824"/>
      <c r="GZ876" s="1824"/>
      <c r="HA876" s="1824"/>
      <c r="HB876" s="1824"/>
      <c r="HC876" s="1824"/>
      <c r="HD876" s="1824"/>
      <c r="HE876" s="1824"/>
      <c r="HF876" s="1824"/>
      <c r="HG876" s="1824"/>
      <c r="HH876" s="1824"/>
      <c r="HI876" s="1824"/>
      <c r="HJ876" s="1824"/>
      <c r="HK876" s="1824"/>
      <c r="HL876" s="1824"/>
      <c r="HM876" s="1824"/>
      <c r="HN876" s="1824"/>
      <c r="HO876" s="1824"/>
      <c r="HP876" s="1824"/>
      <c r="HQ876" s="1824"/>
      <c r="HR876" s="1824"/>
      <c r="HS876" s="1824"/>
      <c r="HT876" s="1824"/>
      <c r="HU876" s="1824"/>
      <c r="HV876" s="1824"/>
      <c r="HW876" s="1824"/>
      <c r="HX876" s="1824"/>
      <c r="HY876" s="1824"/>
      <c r="HZ876" s="1824"/>
      <c r="IA876" s="1824"/>
      <c r="IB876" s="1824"/>
      <c r="IC876" s="1824"/>
      <c r="ID876" s="1824"/>
      <c r="IK876" s="1821"/>
      <c r="IL876" s="1821"/>
      <c r="JB876" s="1821"/>
    </row>
    <row r="877" spans="1:263" ht="13.9" customHeight="1">
      <c r="A877" s="1821" t="s">
        <v>750</v>
      </c>
      <c r="B877" s="1821" t="s">
        <v>4782</v>
      </c>
      <c r="R877" s="1821" t="s">
        <v>1859</v>
      </c>
      <c r="T877" s="1629"/>
      <c r="GZ877" s="1824"/>
      <c r="HA877" s="1824"/>
      <c r="HB877" s="1824"/>
      <c r="HC877" s="1824"/>
      <c r="HD877" s="1824"/>
      <c r="HE877" s="1824"/>
      <c r="HF877" s="1824"/>
      <c r="HG877" s="1824"/>
      <c r="HH877" s="1824"/>
      <c r="HI877" s="1824"/>
      <c r="HJ877" s="1824"/>
      <c r="HK877" s="1824"/>
      <c r="HL877" s="1824"/>
      <c r="HM877" s="1824"/>
      <c r="HN877" s="1824"/>
      <c r="HO877" s="1824"/>
      <c r="HP877" s="1824"/>
      <c r="HQ877" s="1824"/>
      <c r="HR877" s="1824"/>
      <c r="HS877" s="1824"/>
      <c r="HT877" s="1824"/>
      <c r="HU877" s="1824"/>
      <c r="HV877" s="1824"/>
      <c r="HW877" s="1824"/>
      <c r="HX877" s="1824"/>
      <c r="HY877" s="1824"/>
      <c r="HZ877" s="1824"/>
      <c r="IA877" s="1824"/>
      <c r="IB877" s="1824"/>
      <c r="IC877" s="1824"/>
      <c r="ID877" s="1824"/>
      <c r="IE877" s="1824"/>
      <c r="IL877" s="1821"/>
      <c r="JB877" s="1821"/>
      <c r="JC877" s="1821"/>
    </row>
    <row r="878" spans="1:263" ht="2.25" customHeight="1">
      <c r="P878" s="1629"/>
      <c r="Q878" s="1629"/>
      <c r="GT878" s="1824"/>
      <c r="GY878" s="1824"/>
      <c r="GZ878" s="1824"/>
      <c r="HA878" s="1824"/>
      <c r="HB878" s="1824"/>
      <c r="HC878" s="1824"/>
      <c r="HD878" s="1824"/>
      <c r="HE878" s="1824"/>
      <c r="HF878" s="1824"/>
      <c r="HG878" s="1824"/>
      <c r="HH878" s="1824"/>
      <c r="HI878" s="1824"/>
      <c r="HJ878" s="1824"/>
      <c r="HK878" s="1824"/>
      <c r="HL878" s="1824"/>
      <c r="HM878" s="1824"/>
      <c r="HN878" s="1824"/>
      <c r="HO878" s="1824"/>
      <c r="HP878" s="1824"/>
      <c r="HQ878" s="1824"/>
      <c r="HR878" s="1824"/>
      <c r="HS878" s="1824"/>
      <c r="HT878" s="1824"/>
      <c r="HU878" s="1824"/>
      <c r="HV878" s="1824"/>
      <c r="HW878" s="1824"/>
      <c r="HX878" s="1824"/>
      <c r="HY878" s="1824"/>
      <c r="HZ878" s="1824"/>
      <c r="IA878" s="1824"/>
      <c r="IB878" s="1824"/>
      <c r="IC878" s="1824"/>
      <c r="ID878" s="1824"/>
      <c r="IK878" s="1821"/>
      <c r="JA878" s="1821"/>
      <c r="JB878" s="1821"/>
    </row>
    <row r="879" spans="1:263" ht="11.25" customHeight="1">
      <c r="B879" s="1879" t="s">
        <v>1026</v>
      </c>
      <c r="C879" s="1330"/>
      <c r="D879" s="1830"/>
      <c r="E879" s="1330"/>
      <c r="F879" s="1330"/>
      <c r="G879" s="1330"/>
      <c r="H879" s="1880">
        <f>'Part VI-Revenues &amp; Expenses'!H122</f>
        <v>9297.1200000000008</v>
      </c>
      <c r="I879" s="1880">
        <f>'Part VI-Revenues &amp; Expenses'!I122</f>
        <v>0</v>
      </c>
      <c r="J879" s="1330"/>
      <c r="K879" s="1881" t="s">
        <v>4783</v>
      </c>
      <c r="L879" s="1330"/>
      <c r="M879" s="1330"/>
      <c r="N879" s="1330"/>
      <c r="O879" s="1882">
        <f>H879/L806</f>
        <v>0.02</v>
      </c>
      <c r="P879" s="1830"/>
      <c r="Q879" s="1830"/>
      <c r="R879" s="1818" t="str">
        <f>B879</f>
        <v>Ancillary Income</v>
      </c>
      <c r="GT879" s="1824"/>
      <c r="GY879" s="1824"/>
      <c r="GZ879" s="1824"/>
      <c r="HA879" s="1824"/>
      <c r="HB879" s="1824"/>
      <c r="HC879" s="1824"/>
      <c r="HD879" s="1824"/>
      <c r="HE879" s="1824"/>
      <c r="HF879" s="1824"/>
      <c r="HG879" s="1824"/>
      <c r="HH879" s="1824"/>
      <c r="HI879" s="1824"/>
      <c r="HJ879" s="1824"/>
      <c r="HK879" s="1824"/>
      <c r="HL879" s="1824"/>
      <c r="HM879" s="1824"/>
      <c r="HN879" s="1824"/>
      <c r="HO879" s="1824"/>
      <c r="HP879" s="1824"/>
      <c r="HQ879" s="1824"/>
      <c r="HR879" s="1824"/>
      <c r="HS879" s="1824"/>
      <c r="HT879" s="1824"/>
      <c r="HU879" s="1824"/>
      <c r="HV879" s="1824"/>
      <c r="HW879" s="1824"/>
      <c r="HX879" s="1824"/>
      <c r="HY879" s="1824"/>
      <c r="HZ879" s="1824"/>
      <c r="IA879" s="1824"/>
      <c r="IB879" s="1824"/>
      <c r="IC879" s="1824"/>
      <c r="ID879" s="1824"/>
      <c r="IK879" s="1821"/>
      <c r="JA879" s="1821"/>
      <c r="JB879" s="1821"/>
    </row>
    <row r="880" spans="1:263" ht="2.25" customHeight="1">
      <c r="B880" s="1879"/>
      <c r="C880" s="1330"/>
      <c r="D880" s="1830"/>
      <c r="E880" s="1642"/>
      <c r="F880" s="1330"/>
      <c r="G880" s="1330"/>
      <c r="H880" s="1330"/>
      <c r="I880" s="1883"/>
      <c r="J880" s="1330"/>
      <c r="K880" s="1330"/>
      <c r="L880" s="1330"/>
      <c r="M880" s="1330"/>
      <c r="N880" s="1330"/>
      <c r="O880" s="1330"/>
      <c r="P880" s="1830"/>
      <c r="Q880" s="1830"/>
      <c r="GT880" s="1824"/>
      <c r="GY880" s="1824"/>
      <c r="GZ880" s="1824"/>
      <c r="HA880" s="1824"/>
      <c r="HB880" s="1824"/>
      <c r="HC880" s="1824"/>
      <c r="HD880" s="1824"/>
      <c r="HE880" s="1824"/>
      <c r="HF880" s="1824"/>
      <c r="HG880" s="1824"/>
      <c r="HH880" s="1824"/>
      <c r="HI880" s="1824"/>
      <c r="HJ880" s="1824"/>
      <c r="HK880" s="1824"/>
      <c r="HL880" s="1824"/>
      <c r="HM880" s="1824"/>
      <c r="HN880" s="1824"/>
      <c r="HO880" s="1824"/>
      <c r="HP880" s="1824"/>
      <c r="HQ880" s="1824"/>
      <c r="HR880" s="1824"/>
      <c r="HS880" s="1824"/>
      <c r="HT880" s="1824"/>
      <c r="HU880" s="1824"/>
      <c r="HV880" s="1824"/>
      <c r="HW880" s="1824"/>
      <c r="HX880" s="1824"/>
      <c r="HY880" s="1824"/>
      <c r="HZ880" s="1824"/>
      <c r="IA880" s="1824"/>
      <c r="IB880" s="1824"/>
      <c r="IC880" s="1824"/>
      <c r="ID880" s="1824"/>
      <c r="IK880" s="1821"/>
      <c r="JA880" s="1821"/>
      <c r="JB880" s="1821"/>
    </row>
    <row r="881" spans="2:262" ht="11.25" customHeight="1">
      <c r="B881" s="1879" t="s">
        <v>1457</v>
      </c>
      <c r="C881" s="1330"/>
      <c r="D881" s="1330"/>
      <c r="E881" s="1330"/>
      <c r="F881" s="1330"/>
      <c r="G881" s="1330"/>
      <c r="H881" s="1330"/>
      <c r="I881" s="1879"/>
      <c r="J881" s="1330"/>
      <c r="K881" s="1884"/>
      <c r="L881" s="1330"/>
      <c r="M881" s="1330"/>
      <c r="N881" s="1330"/>
      <c r="O881" s="1330"/>
      <c r="P881" s="1330"/>
      <c r="R881" s="1837" t="str">
        <f>B881</f>
        <v>Other Income (OI) by Year:</v>
      </c>
      <c r="GT881" s="1824"/>
      <c r="GY881" s="1824"/>
      <c r="GZ881" s="1824"/>
      <c r="HA881" s="1824"/>
      <c r="HB881" s="1824"/>
      <c r="HC881" s="1824"/>
      <c r="HD881" s="1824"/>
      <c r="HE881" s="1824"/>
      <c r="HF881" s="1824"/>
      <c r="HG881" s="1824"/>
      <c r="HH881" s="1824"/>
      <c r="HI881" s="1824"/>
      <c r="HJ881" s="1824"/>
      <c r="HK881" s="1824"/>
      <c r="HL881" s="1824"/>
      <c r="HM881" s="1824"/>
      <c r="HN881" s="1824"/>
      <c r="HO881" s="1824"/>
      <c r="HP881" s="1824"/>
      <c r="HQ881" s="1824"/>
      <c r="HR881" s="1824"/>
      <c r="HS881" s="1824"/>
      <c r="HT881" s="1824"/>
      <c r="HU881" s="1824"/>
      <c r="HV881" s="1824"/>
      <c r="HW881" s="1824"/>
      <c r="HX881" s="1824"/>
      <c r="HY881" s="1824"/>
      <c r="HZ881" s="1824"/>
      <c r="IA881" s="1824"/>
      <c r="IB881" s="1824"/>
      <c r="IC881" s="1824"/>
      <c r="ID881" s="1824"/>
      <c r="IK881" s="1821"/>
      <c r="JA881" s="1821"/>
      <c r="JB881" s="1821"/>
    </row>
    <row r="882" spans="2:262" ht="11.25" customHeight="1">
      <c r="B882" s="1885" t="s">
        <v>2302</v>
      </c>
      <c r="C882" s="1330"/>
      <c r="D882" s="1330"/>
      <c r="E882" s="1330"/>
      <c r="F882" s="1330"/>
      <c r="G882" s="1886">
        <v>1</v>
      </c>
      <c r="H882" s="1886">
        <v>2</v>
      </c>
      <c r="I882" s="1886">
        <v>3</v>
      </c>
      <c r="J882" s="1886">
        <v>4</v>
      </c>
      <c r="K882" s="1886">
        <v>5</v>
      </c>
      <c r="L882" s="1886">
        <v>6</v>
      </c>
      <c r="M882" s="1886">
        <v>7</v>
      </c>
      <c r="N882" s="1886">
        <v>8</v>
      </c>
      <c r="O882" s="1886">
        <v>9</v>
      </c>
      <c r="P882" s="1886">
        <v>10</v>
      </c>
      <c r="Q882" s="1887"/>
      <c r="R882" s="1629" t="str">
        <f>B882</f>
        <v>Included in Mgt Fee:</v>
      </c>
      <c r="GT882" s="1824"/>
      <c r="GY882" s="1824"/>
      <c r="GZ882" s="1824"/>
      <c r="HA882" s="1824"/>
      <c r="HB882" s="1824"/>
      <c r="HC882" s="1824"/>
      <c r="HD882" s="1824"/>
      <c r="HE882" s="1824"/>
      <c r="HF882" s="1824"/>
      <c r="HG882" s="1824"/>
      <c r="HH882" s="1824"/>
      <c r="HI882" s="1824"/>
      <c r="HJ882" s="1824"/>
      <c r="HK882" s="1824"/>
      <c r="HL882" s="1824"/>
      <c r="HM882" s="1824"/>
      <c r="HN882" s="1824"/>
      <c r="HO882" s="1824"/>
      <c r="HP882" s="1824"/>
      <c r="HQ882" s="1824"/>
      <c r="HR882" s="1824"/>
      <c r="HS882" s="1824"/>
      <c r="HT882" s="1824"/>
      <c r="HU882" s="1824"/>
      <c r="HV882" s="1824"/>
      <c r="HW882" s="1824"/>
      <c r="HX882" s="1824"/>
      <c r="HY882" s="1824"/>
      <c r="HZ882" s="1824"/>
      <c r="IA882" s="1824"/>
      <c r="IB882" s="1824"/>
      <c r="IC882" s="1824"/>
      <c r="ID882" s="1824"/>
      <c r="IK882" s="1821"/>
      <c r="JA882" s="1821"/>
      <c r="JB882" s="1821"/>
    </row>
    <row r="883" spans="2:262" ht="11.25" customHeight="1">
      <c r="B883" s="1830" t="s">
        <v>1027</v>
      </c>
      <c r="C883" s="1830"/>
      <c r="D883" s="1830"/>
      <c r="E883" s="1830"/>
      <c r="F883" s="1830"/>
      <c r="G883" s="1888">
        <f>'Part VI-Revenues &amp; Expenses'!G126</f>
        <v>0</v>
      </c>
      <c r="H883" s="1888">
        <f>'Part VI-Revenues &amp; Expenses'!H126</f>
        <v>0</v>
      </c>
      <c r="I883" s="1888">
        <f>'Part VI-Revenues &amp; Expenses'!I126</f>
        <v>0</v>
      </c>
      <c r="J883" s="1888">
        <f>'Part VI-Revenues &amp; Expenses'!J126</f>
        <v>0</v>
      </c>
      <c r="K883" s="1888">
        <f>'Part VI-Revenues &amp; Expenses'!K126</f>
        <v>0</v>
      </c>
      <c r="L883" s="1888">
        <f>'Part VI-Revenues &amp; Expenses'!L126</f>
        <v>0</v>
      </c>
      <c r="M883" s="1888">
        <f>'Part VI-Revenues &amp; Expenses'!M126</f>
        <v>0</v>
      </c>
      <c r="N883" s="1888">
        <f>'Part VI-Revenues &amp; Expenses'!N126</f>
        <v>0</v>
      </c>
      <c r="O883" s="1888">
        <f>'Part VI-Revenues &amp; Expenses'!O126</f>
        <v>0</v>
      </c>
      <c r="P883" s="1888">
        <f>'Part VI-Revenues &amp; Expenses'!P126</f>
        <v>0</v>
      </c>
      <c r="Q883" s="1889"/>
      <c r="R883" s="1775"/>
      <c r="S883" s="1775"/>
      <c r="T883" s="1775"/>
      <c r="U883" s="1775"/>
      <c r="V883" s="1775"/>
      <c r="GT883" s="1824"/>
      <c r="GY883" s="1824"/>
      <c r="GZ883" s="1824"/>
      <c r="HA883" s="1824"/>
      <c r="HB883" s="1824"/>
      <c r="HC883" s="1824"/>
      <c r="HD883" s="1824"/>
      <c r="HE883" s="1824"/>
      <c r="HF883" s="1824"/>
      <c r="HG883" s="1824"/>
      <c r="HH883" s="1824"/>
      <c r="HI883" s="1824"/>
      <c r="HJ883" s="1824"/>
      <c r="HK883" s="1824"/>
      <c r="HL883" s="1824"/>
      <c r="HM883" s="1824"/>
      <c r="HN883" s="1824"/>
      <c r="HO883" s="1824"/>
      <c r="HP883" s="1824"/>
      <c r="HQ883" s="1824"/>
      <c r="HR883" s="1824"/>
      <c r="HS883" s="1824"/>
      <c r="HT883" s="1824"/>
      <c r="HU883" s="1824"/>
      <c r="HV883" s="1824"/>
      <c r="HW883" s="1824"/>
      <c r="HX883" s="1824"/>
      <c r="HY883" s="1824"/>
      <c r="HZ883" s="1824"/>
      <c r="IA883" s="1824"/>
      <c r="IB883" s="1824"/>
      <c r="IC883" s="1824"/>
      <c r="ID883" s="1824"/>
      <c r="IK883" s="1821"/>
      <c r="JA883" s="1821"/>
      <c r="JB883" s="1821"/>
    </row>
    <row r="884" spans="2:262" ht="11.25" customHeight="1">
      <c r="B884" s="1830" t="s">
        <v>749</v>
      </c>
      <c r="C884" s="1830">
        <f>'Part VI-Revenues &amp; Expenses'!C127</f>
        <v>0</v>
      </c>
      <c r="D884" s="1830">
        <f>'Part VI-Revenues &amp; Expenses'!D127</f>
        <v>0</v>
      </c>
      <c r="E884" s="1830">
        <f>'Part VI-Revenues &amp; Expenses'!E127</f>
        <v>0</v>
      </c>
      <c r="F884" s="1830">
        <f>'Part VI-Revenues &amp; Expenses'!F127</f>
        <v>0</v>
      </c>
      <c r="G884" s="1888">
        <f>'Part VI-Revenues &amp; Expenses'!G127</f>
        <v>0</v>
      </c>
      <c r="H884" s="1888">
        <f>'Part VI-Revenues &amp; Expenses'!H127</f>
        <v>0</v>
      </c>
      <c r="I884" s="1888">
        <f>'Part VI-Revenues &amp; Expenses'!I127</f>
        <v>0</v>
      </c>
      <c r="J884" s="1888">
        <f>'Part VI-Revenues &amp; Expenses'!J127</f>
        <v>0</v>
      </c>
      <c r="K884" s="1888">
        <f>'Part VI-Revenues &amp; Expenses'!K127</f>
        <v>0</v>
      </c>
      <c r="L884" s="1888">
        <f>'Part VI-Revenues &amp; Expenses'!L127</f>
        <v>0</v>
      </c>
      <c r="M884" s="1888">
        <f>'Part VI-Revenues &amp; Expenses'!M127</f>
        <v>0</v>
      </c>
      <c r="N884" s="1888">
        <f>'Part VI-Revenues &amp; Expenses'!N127</f>
        <v>0</v>
      </c>
      <c r="O884" s="1888">
        <f>'Part VI-Revenues &amp; Expenses'!O127</f>
        <v>0</v>
      </c>
      <c r="P884" s="1888">
        <f>'Part VI-Revenues &amp; Expenses'!P127</f>
        <v>0</v>
      </c>
      <c r="Q884" s="1889"/>
      <c r="R884" s="1775"/>
      <c r="S884" s="1775"/>
      <c r="T884" s="1775"/>
      <c r="U884" s="1775"/>
      <c r="V884" s="1775"/>
      <c r="GT884" s="1824"/>
      <c r="GY884" s="1824"/>
      <c r="GZ884" s="1824"/>
      <c r="HA884" s="1824"/>
      <c r="HB884" s="1824"/>
      <c r="HC884" s="1824"/>
      <c r="HD884" s="1824"/>
      <c r="HE884" s="1824"/>
      <c r="HF884" s="1824"/>
      <c r="HG884" s="1824"/>
      <c r="HH884" s="1824"/>
      <c r="HI884" s="1824"/>
      <c r="HJ884" s="1824"/>
      <c r="HK884" s="1824"/>
      <c r="HL884" s="1824"/>
      <c r="HM884" s="1824"/>
      <c r="HN884" s="1824"/>
      <c r="HO884" s="1824"/>
      <c r="HP884" s="1824"/>
      <c r="HQ884" s="1824"/>
      <c r="HR884" s="1824"/>
      <c r="HS884" s="1824"/>
      <c r="HT884" s="1824"/>
      <c r="HU884" s="1824"/>
      <c r="HV884" s="1824"/>
      <c r="HW884" s="1824"/>
      <c r="HX884" s="1824"/>
      <c r="HY884" s="1824"/>
      <c r="HZ884" s="1824"/>
      <c r="IA884" s="1824"/>
      <c r="IB884" s="1824"/>
      <c r="IC884" s="1824"/>
      <c r="ID884" s="1824"/>
      <c r="IK884" s="1821"/>
      <c r="JA884" s="1821"/>
      <c r="JB884" s="1821"/>
    </row>
    <row r="885" spans="2:262" ht="11.25" customHeight="1">
      <c r="B885" s="1830"/>
      <c r="C885" s="1830" t="s">
        <v>937</v>
      </c>
      <c r="D885" s="1830"/>
      <c r="E885" s="1830"/>
      <c r="F885" s="1830"/>
      <c r="G885" s="1890">
        <f t="shared" ref="G885:P885" si="273">SUM(G883:G884)</f>
        <v>0</v>
      </c>
      <c r="H885" s="1890">
        <f t="shared" si="273"/>
        <v>0</v>
      </c>
      <c r="I885" s="1890">
        <f t="shared" si="273"/>
        <v>0</v>
      </c>
      <c r="J885" s="1890">
        <f t="shared" si="273"/>
        <v>0</v>
      </c>
      <c r="K885" s="1890">
        <f t="shared" si="273"/>
        <v>0</v>
      </c>
      <c r="L885" s="1890">
        <f t="shared" si="273"/>
        <v>0</v>
      </c>
      <c r="M885" s="1890">
        <f t="shared" si="273"/>
        <v>0</v>
      </c>
      <c r="N885" s="1890">
        <f t="shared" si="273"/>
        <v>0</v>
      </c>
      <c r="O885" s="1890">
        <f t="shared" si="273"/>
        <v>0</v>
      </c>
      <c r="P885" s="1890">
        <f t="shared" si="273"/>
        <v>0</v>
      </c>
      <c r="Q885" s="479"/>
      <c r="R885" s="1775"/>
      <c r="S885" s="1775"/>
      <c r="T885" s="1775"/>
      <c r="U885" s="1775"/>
      <c r="V885" s="1775"/>
      <c r="GT885" s="1824"/>
      <c r="GY885" s="1824"/>
      <c r="GZ885" s="1824"/>
      <c r="HA885" s="1824"/>
      <c r="HB885" s="1824"/>
      <c r="HC885" s="1824"/>
      <c r="HD885" s="1824"/>
      <c r="HE885" s="1824"/>
      <c r="HF885" s="1824"/>
      <c r="HG885" s="1824"/>
      <c r="HH885" s="1824"/>
      <c r="HI885" s="1824"/>
      <c r="HJ885" s="1824"/>
      <c r="HK885" s="1824"/>
      <c r="HL885" s="1824"/>
      <c r="HM885" s="1824"/>
      <c r="HN885" s="1824"/>
      <c r="HO885" s="1824"/>
      <c r="HP885" s="1824"/>
      <c r="HQ885" s="1824"/>
      <c r="HR885" s="1824"/>
      <c r="HS885" s="1824"/>
      <c r="HT885" s="1824"/>
      <c r="HU885" s="1824"/>
      <c r="HV885" s="1824"/>
      <c r="HW885" s="1824"/>
      <c r="HX885" s="1824"/>
      <c r="HY885" s="1824"/>
      <c r="HZ885" s="1824"/>
      <c r="IA885" s="1824"/>
      <c r="IB885" s="1824"/>
      <c r="IC885" s="1824"/>
      <c r="ID885" s="1824"/>
      <c r="IK885" s="1821"/>
      <c r="JA885" s="1821"/>
      <c r="JB885" s="1821"/>
    </row>
    <row r="886" spans="2:262" ht="11.25" customHeight="1">
      <c r="B886" s="1885" t="s">
        <v>4784</v>
      </c>
      <c r="C886" s="1330"/>
      <c r="D886" s="1330"/>
      <c r="E886" s="1330"/>
      <c r="F886" s="1330"/>
      <c r="G886" s="1891"/>
      <c r="H886" s="1330"/>
      <c r="I886" s="1330"/>
      <c r="J886" s="1330"/>
      <c r="K886" s="1330"/>
      <c r="L886" s="1330"/>
      <c r="M886" s="1330"/>
      <c r="N886" s="1330"/>
      <c r="O886" s="1330"/>
      <c r="P886" s="1330"/>
      <c r="R886" s="1629" t="str">
        <f>B886</f>
        <v>NOT Included in Mgt Fee:</v>
      </c>
      <c r="GT886" s="1824"/>
      <c r="GY886" s="1824"/>
      <c r="GZ886" s="1824"/>
      <c r="HA886" s="1824"/>
      <c r="HB886" s="1824"/>
      <c r="HC886" s="1824"/>
      <c r="HD886" s="1824"/>
      <c r="HE886" s="1824"/>
      <c r="HF886" s="1824"/>
      <c r="HG886" s="1824"/>
      <c r="HH886" s="1824"/>
      <c r="HI886" s="1824"/>
      <c r="HJ886" s="1824"/>
      <c r="HK886" s="1824"/>
      <c r="HL886" s="1824"/>
      <c r="HM886" s="1824"/>
      <c r="HN886" s="1824"/>
      <c r="HO886" s="1824"/>
      <c r="HP886" s="1824"/>
      <c r="HQ886" s="1824"/>
      <c r="HR886" s="1824"/>
      <c r="HS886" s="1824"/>
      <c r="HT886" s="1824"/>
      <c r="HU886" s="1824"/>
      <c r="HV886" s="1824"/>
      <c r="HW886" s="1824"/>
      <c r="HX886" s="1824"/>
      <c r="HY886" s="1824"/>
      <c r="HZ886" s="1824"/>
      <c r="IA886" s="1824"/>
      <c r="IB886" s="1824"/>
      <c r="IC886" s="1824"/>
      <c r="ID886" s="1824"/>
      <c r="IK886" s="1821"/>
      <c r="JA886" s="1821"/>
      <c r="JB886" s="1821"/>
    </row>
    <row r="887" spans="2:262" ht="11.25" customHeight="1">
      <c r="B887" s="1830" t="s">
        <v>538</v>
      </c>
      <c r="C887" s="1830"/>
      <c r="D887" s="1830"/>
      <c r="E887" s="1830"/>
      <c r="F887" s="1830"/>
      <c r="G887" s="1888">
        <f>'Part VI-Revenues &amp; Expenses'!G130</f>
        <v>0</v>
      </c>
      <c r="H887" s="1888">
        <f>'Part VI-Revenues &amp; Expenses'!H130</f>
        <v>0</v>
      </c>
      <c r="I887" s="1888">
        <f>'Part VI-Revenues &amp; Expenses'!I130</f>
        <v>0</v>
      </c>
      <c r="J887" s="1888">
        <f>'Part VI-Revenues &amp; Expenses'!J130</f>
        <v>0</v>
      </c>
      <c r="K887" s="1888">
        <f>'Part VI-Revenues &amp; Expenses'!K130</f>
        <v>0</v>
      </c>
      <c r="L887" s="1888">
        <f>'Part VI-Revenues &amp; Expenses'!L130</f>
        <v>0</v>
      </c>
      <c r="M887" s="1888">
        <f>'Part VI-Revenues &amp; Expenses'!M130</f>
        <v>0</v>
      </c>
      <c r="N887" s="1888">
        <f>'Part VI-Revenues &amp; Expenses'!N130</f>
        <v>0</v>
      </c>
      <c r="O887" s="1888">
        <f>'Part VI-Revenues &amp; Expenses'!O130</f>
        <v>0</v>
      </c>
      <c r="P887" s="1888">
        <f>'Part VI-Revenues &amp; Expenses'!P130</f>
        <v>0</v>
      </c>
      <c r="Q887" s="1889"/>
      <c r="R887" s="1775"/>
      <c r="S887" s="1775"/>
      <c r="T887" s="1775"/>
      <c r="U887" s="1775"/>
      <c r="V887" s="1775"/>
      <c r="GT887" s="1824"/>
      <c r="GY887" s="1824"/>
      <c r="GZ887" s="1824"/>
      <c r="HA887" s="1824"/>
      <c r="HB887" s="1824"/>
      <c r="HC887" s="1824"/>
      <c r="HD887" s="1824"/>
      <c r="HE887" s="1824"/>
      <c r="HF887" s="1824"/>
      <c r="HG887" s="1824"/>
      <c r="HH887" s="1824"/>
      <c r="HI887" s="1824"/>
      <c r="HJ887" s="1824"/>
      <c r="HK887" s="1824"/>
      <c r="HL887" s="1824"/>
      <c r="HM887" s="1824"/>
      <c r="HN887" s="1824"/>
      <c r="HO887" s="1824"/>
      <c r="HP887" s="1824"/>
      <c r="HQ887" s="1824"/>
      <c r="HR887" s="1824"/>
      <c r="HS887" s="1824"/>
      <c r="HT887" s="1824"/>
      <c r="HU887" s="1824"/>
      <c r="HV887" s="1824"/>
      <c r="HW887" s="1824"/>
      <c r="HX887" s="1824"/>
      <c r="HY887" s="1824"/>
      <c r="HZ887" s="1824"/>
      <c r="IA887" s="1824"/>
      <c r="IB887" s="1824"/>
      <c r="IC887" s="1824"/>
      <c r="ID887" s="1824"/>
      <c r="IK887" s="1821"/>
      <c r="JA887" s="1821"/>
      <c r="JB887" s="1821"/>
    </row>
    <row r="888" spans="2:262" ht="11.25" customHeight="1">
      <c r="B888" s="1830" t="s">
        <v>749</v>
      </c>
      <c r="C888" s="1830">
        <f>'Part VI-Revenues &amp; Expenses'!C131</f>
        <v>0</v>
      </c>
      <c r="D888" s="1830">
        <f>'Part VI-Revenues &amp; Expenses'!D131</f>
        <v>0</v>
      </c>
      <c r="E888" s="1830">
        <f>'Part VI-Revenues &amp; Expenses'!E131</f>
        <v>0</v>
      </c>
      <c r="F888" s="1830">
        <f>'Part VI-Revenues &amp; Expenses'!F131</f>
        <v>0</v>
      </c>
      <c r="G888" s="1888">
        <f>'Part VI-Revenues &amp; Expenses'!G131</f>
        <v>0</v>
      </c>
      <c r="H888" s="1888">
        <f>'Part VI-Revenues &amp; Expenses'!H131</f>
        <v>0</v>
      </c>
      <c r="I888" s="1888">
        <f>'Part VI-Revenues &amp; Expenses'!I131</f>
        <v>0</v>
      </c>
      <c r="J888" s="1888">
        <f>'Part VI-Revenues &amp; Expenses'!J131</f>
        <v>0</v>
      </c>
      <c r="K888" s="1888">
        <f>'Part VI-Revenues &amp; Expenses'!K131</f>
        <v>0</v>
      </c>
      <c r="L888" s="1888">
        <f>'Part VI-Revenues &amp; Expenses'!L131</f>
        <v>0</v>
      </c>
      <c r="M888" s="1888">
        <f>'Part VI-Revenues &amp; Expenses'!M131</f>
        <v>0</v>
      </c>
      <c r="N888" s="1888">
        <f>'Part VI-Revenues &amp; Expenses'!N131</f>
        <v>0</v>
      </c>
      <c r="O888" s="1888">
        <f>'Part VI-Revenues &amp; Expenses'!O131</f>
        <v>0</v>
      </c>
      <c r="P888" s="1888">
        <f>'Part VI-Revenues &amp; Expenses'!P131</f>
        <v>0</v>
      </c>
      <c r="Q888" s="1889"/>
      <c r="R888" s="1775"/>
      <c r="S888" s="1775"/>
      <c r="T888" s="1775"/>
      <c r="U888" s="1775"/>
      <c r="V888" s="1775"/>
      <c r="GT888" s="1824"/>
      <c r="GY888" s="1824"/>
      <c r="GZ888" s="1824"/>
      <c r="HA888" s="1824"/>
      <c r="HB888" s="1824"/>
      <c r="HC888" s="1824"/>
      <c r="HD888" s="1824"/>
      <c r="HE888" s="1824"/>
      <c r="HF888" s="1824"/>
      <c r="HG888" s="1824"/>
      <c r="HH888" s="1824"/>
      <c r="HI888" s="1824"/>
      <c r="HJ888" s="1824"/>
      <c r="HK888" s="1824"/>
      <c r="HL888" s="1824"/>
      <c r="HM888" s="1824"/>
      <c r="HN888" s="1824"/>
      <c r="HO888" s="1824"/>
      <c r="HP888" s="1824"/>
      <c r="HQ888" s="1824"/>
      <c r="HR888" s="1824"/>
      <c r="HS888" s="1824"/>
      <c r="HT888" s="1824"/>
      <c r="HU888" s="1824"/>
      <c r="HV888" s="1824"/>
      <c r="HW888" s="1824"/>
      <c r="HX888" s="1824"/>
      <c r="HY888" s="1824"/>
      <c r="HZ888" s="1824"/>
      <c r="IA888" s="1824"/>
      <c r="IB888" s="1824"/>
      <c r="IC888" s="1824"/>
      <c r="ID888" s="1824"/>
      <c r="IK888" s="1821"/>
      <c r="JA888" s="1821"/>
      <c r="JB888" s="1821"/>
    </row>
    <row r="889" spans="2:262" ht="11.25" customHeight="1">
      <c r="B889" s="1830"/>
      <c r="C889" s="1830" t="s">
        <v>4785</v>
      </c>
      <c r="D889" s="1830"/>
      <c r="E889" s="1830"/>
      <c r="F889" s="1830"/>
      <c r="G889" s="1890">
        <f t="shared" ref="G889:P889" si="274">SUM(G887:G888)</f>
        <v>0</v>
      </c>
      <c r="H889" s="1890">
        <f t="shared" si="274"/>
        <v>0</v>
      </c>
      <c r="I889" s="1890">
        <f t="shared" si="274"/>
        <v>0</v>
      </c>
      <c r="J889" s="1890">
        <f t="shared" si="274"/>
        <v>0</v>
      </c>
      <c r="K889" s="1890">
        <f t="shared" si="274"/>
        <v>0</v>
      </c>
      <c r="L889" s="1890">
        <f t="shared" si="274"/>
        <v>0</v>
      </c>
      <c r="M889" s="1890">
        <f t="shared" si="274"/>
        <v>0</v>
      </c>
      <c r="N889" s="1890">
        <f t="shared" si="274"/>
        <v>0</v>
      </c>
      <c r="O889" s="1890">
        <f t="shared" si="274"/>
        <v>0</v>
      </c>
      <c r="P889" s="1890">
        <f t="shared" si="274"/>
        <v>0</v>
      </c>
      <c r="Q889" s="479"/>
      <c r="R889" s="1775"/>
      <c r="S889" s="1775"/>
      <c r="T889" s="1775"/>
      <c r="U889" s="1775"/>
      <c r="V889" s="1775"/>
      <c r="GT889" s="1824"/>
      <c r="GY889" s="1824"/>
      <c r="GZ889" s="1824"/>
      <c r="HA889" s="1824"/>
      <c r="HB889" s="1824"/>
      <c r="HC889" s="1824"/>
      <c r="HD889" s="1824"/>
      <c r="HE889" s="1824"/>
      <c r="HF889" s="1824"/>
      <c r="HG889" s="1824"/>
      <c r="HH889" s="1824"/>
      <c r="HI889" s="1824"/>
      <c r="HJ889" s="1824"/>
      <c r="HK889" s="1824"/>
      <c r="HL889" s="1824"/>
      <c r="HM889" s="1824"/>
      <c r="HN889" s="1824"/>
      <c r="HO889" s="1824"/>
      <c r="HP889" s="1824"/>
      <c r="HQ889" s="1824"/>
      <c r="HR889" s="1824"/>
      <c r="HS889" s="1824"/>
      <c r="HT889" s="1824"/>
      <c r="HU889" s="1824"/>
      <c r="HV889" s="1824"/>
      <c r="HW889" s="1824"/>
      <c r="HX889" s="1824"/>
      <c r="HY889" s="1824"/>
      <c r="HZ889" s="1824"/>
      <c r="IA889" s="1824"/>
      <c r="IB889" s="1824"/>
      <c r="IC889" s="1824"/>
      <c r="ID889" s="1824"/>
      <c r="IK889" s="1821"/>
      <c r="JA889" s="1821"/>
      <c r="JB889" s="1821"/>
    </row>
    <row r="890" spans="2:262" ht="3" customHeight="1">
      <c r="B890" s="1879"/>
      <c r="C890" s="1330"/>
      <c r="D890" s="1330"/>
      <c r="E890" s="1330"/>
      <c r="F890" s="1330"/>
      <c r="G890" s="1891"/>
      <c r="H890" s="1330"/>
      <c r="I890" s="1330"/>
      <c r="J890" s="1330"/>
      <c r="K890" s="1330"/>
      <c r="L890" s="1330"/>
      <c r="M890" s="1330"/>
      <c r="N890" s="1330"/>
      <c r="O890" s="1330"/>
      <c r="P890" s="1330"/>
      <c r="GT890" s="1824"/>
      <c r="GY890" s="1824"/>
      <c r="GZ890" s="1824"/>
      <c r="HA890" s="1824"/>
      <c r="HB890" s="1824"/>
      <c r="HC890" s="1824"/>
      <c r="HD890" s="1824"/>
      <c r="HE890" s="1824"/>
      <c r="HF890" s="1824"/>
      <c r="HG890" s="1824"/>
      <c r="HH890" s="1824"/>
      <c r="HI890" s="1824"/>
      <c r="HJ890" s="1824"/>
      <c r="HK890" s="1824"/>
      <c r="HL890" s="1824"/>
      <c r="HM890" s="1824"/>
      <c r="HN890" s="1824"/>
      <c r="HO890" s="1824"/>
      <c r="HP890" s="1824"/>
      <c r="HQ890" s="1824"/>
      <c r="HR890" s="1824"/>
      <c r="HS890" s="1824"/>
      <c r="HT890" s="1824"/>
      <c r="HU890" s="1824"/>
      <c r="HV890" s="1824"/>
      <c r="HW890" s="1824"/>
      <c r="HX890" s="1824"/>
      <c r="HY890" s="1824"/>
      <c r="HZ890" s="1824"/>
      <c r="IA890" s="1824"/>
      <c r="IB890" s="1824"/>
      <c r="IC890" s="1824"/>
      <c r="ID890" s="1824"/>
      <c r="IK890" s="1821"/>
      <c r="JA890" s="1821"/>
      <c r="JB890" s="1821"/>
    </row>
    <row r="891" spans="2:262" ht="11.25" customHeight="1">
      <c r="B891" s="1885" t="s">
        <v>2302</v>
      </c>
      <c r="C891" s="1330"/>
      <c r="D891" s="1330"/>
      <c r="E891" s="1330"/>
      <c r="F891" s="1330"/>
      <c r="G891" s="1886">
        <v>11</v>
      </c>
      <c r="H891" s="1886">
        <v>12</v>
      </c>
      <c r="I891" s="1886">
        <v>13</v>
      </c>
      <c r="J891" s="1886">
        <v>14</v>
      </c>
      <c r="K891" s="1886">
        <v>15</v>
      </c>
      <c r="L891" s="1886">
        <v>16</v>
      </c>
      <c r="M891" s="1886">
        <v>17</v>
      </c>
      <c r="N891" s="1886">
        <v>18</v>
      </c>
      <c r="O891" s="1886">
        <v>19</v>
      </c>
      <c r="P891" s="1886">
        <v>20</v>
      </c>
      <c r="R891" s="1855" t="s">
        <v>2639</v>
      </c>
      <c r="S891" s="1629" t="str">
        <f>B891</f>
        <v>Included in Mgt Fee:</v>
      </c>
      <c r="GT891" s="1824"/>
      <c r="GY891" s="1824"/>
      <c r="GZ891" s="1824"/>
      <c r="HA891" s="1824"/>
      <c r="HB891" s="1824"/>
      <c r="HC891" s="1824"/>
      <c r="HD891" s="1824"/>
      <c r="HE891" s="1824"/>
      <c r="HF891" s="1824"/>
      <c r="HG891" s="1824"/>
      <c r="HH891" s="1824"/>
      <c r="HI891" s="1824"/>
      <c r="HJ891" s="1824"/>
      <c r="HK891" s="1824"/>
      <c r="HL891" s="1824"/>
      <c r="HM891" s="1824"/>
      <c r="HN891" s="1824"/>
      <c r="HO891" s="1824"/>
      <c r="HP891" s="1824"/>
      <c r="HQ891" s="1824"/>
      <c r="HR891" s="1824"/>
      <c r="HS891" s="1824"/>
      <c r="HT891" s="1824"/>
      <c r="HU891" s="1824"/>
      <c r="HV891" s="1824"/>
      <c r="HW891" s="1824"/>
      <c r="HX891" s="1824"/>
      <c r="HY891" s="1824"/>
      <c r="HZ891" s="1824"/>
      <c r="IA891" s="1824"/>
      <c r="IB891" s="1824"/>
      <c r="IC891" s="1824"/>
      <c r="ID891" s="1824"/>
      <c r="IK891" s="1821"/>
      <c r="JA891" s="1821"/>
      <c r="JB891" s="1821"/>
    </row>
    <row r="892" spans="2:262" ht="11.25" customHeight="1">
      <c r="B892" s="1830" t="s">
        <v>1027</v>
      </c>
      <c r="C892" s="1830"/>
      <c r="D892" s="1830"/>
      <c r="E892" s="1830"/>
      <c r="F892" s="1830"/>
      <c r="G892" s="1888">
        <f>'Part VI-Revenues &amp; Expenses'!G135</f>
        <v>0</v>
      </c>
      <c r="H892" s="1888">
        <f>'Part VI-Revenues &amp; Expenses'!H135</f>
        <v>0</v>
      </c>
      <c r="I892" s="1888">
        <f>'Part VI-Revenues &amp; Expenses'!I135</f>
        <v>0</v>
      </c>
      <c r="J892" s="1888">
        <f>'Part VI-Revenues &amp; Expenses'!J135</f>
        <v>0</v>
      </c>
      <c r="K892" s="1888">
        <f>'Part VI-Revenues &amp; Expenses'!K135</f>
        <v>0</v>
      </c>
      <c r="L892" s="1888">
        <f>'Part VI-Revenues &amp; Expenses'!L135</f>
        <v>0</v>
      </c>
      <c r="M892" s="1888">
        <f>'Part VI-Revenues &amp; Expenses'!M135</f>
        <v>0</v>
      </c>
      <c r="N892" s="1888">
        <f>'Part VI-Revenues &amp; Expenses'!N135</f>
        <v>0</v>
      </c>
      <c r="O892" s="1888">
        <f>'Part VI-Revenues &amp; Expenses'!O135</f>
        <v>0</v>
      </c>
      <c r="P892" s="1888">
        <f>'Part VI-Revenues &amp; Expenses'!P135</f>
        <v>0</v>
      </c>
      <c r="Q892" s="1889"/>
      <c r="R892" s="1775"/>
      <c r="S892" s="1775"/>
      <c r="T892" s="1775"/>
      <c r="U892" s="1775"/>
      <c r="V892" s="1775"/>
      <c r="GT892" s="1824"/>
      <c r="GY892" s="1824"/>
      <c r="GZ892" s="1824"/>
      <c r="HA892" s="1824"/>
      <c r="HB892" s="1824"/>
      <c r="HC892" s="1824"/>
      <c r="HD892" s="1824"/>
      <c r="HE892" s="1824"/>
      <c r="HF892" s="1824"/>
      <c r="HG892" s="1824"/>
      <c r="HH892" s="1824"/>
      <c r="HI892" s="1824"/>
      <c r="HJ892" s="1824"/>
      <c r="HK892" s="1824"/>
      <c r="HL892" s="1824"/>
      <c r="HM892" s="1824"/>
      <c r="HN892" s="1824"/>
      <c r="HO892" s="1824"/>
      <c r="HP892" s="1824"/>
      <c r="HQ892" s="1824"/>
      <c r="HR892" s="1824"/>
      <c r="HS892" s="1824"/>
      <c r="HT892" s="1824"/>
      <c r="HU892" s="1824"/>
      <c r="HV892" s="1824"/>
      <c r="HW892" s="1824"/>
      <c r="HX892" s="1824"/>
      <c r="HY892" s="1824"/>
      <c r="HZ892" s="1824"/>
      <c r="IA892" s="1824"/>
      <c r="IB892" s="1824"/>
      <c r="IC892" s="1824"/>
      <c r="ID892" s="1824"/>
      <c r="IK892" s="1821"/>
      <c r="JA892" s="1821"/>
      <c r="JB892" s="1821"/>
    </row>
    <row r="893" spans="2:262" ht="11.25" customHeight="1">
      <c r="B893" s="1830" t="s">
        <v>749</v>
      </c>
      <c r="C893" s="1830">
        <f>'Part VI-Revenues &amp; Expenses'!C136</f>
        <v>0</v>
      </c>
      <c r="D893" s="1830">
        <f>'Part VI-Revenues &amp; Expenses'!D136</f>
        <v>0</v>
      </c>
      <c r="E893" s="1830">
        <f>'Part VI-Revenues &amp; Expenses'!E136</f>
        <v>0</v>
      </c>
      <c r="F893" s="1830">
        <f>'Part VI-Revenues &amp; Expenses'!F136</f>
        <v>0</v>
      </c>
      <c r="G893" s="1888">
        <f>'Part VI-Revenues &amp; Expenses'!G136</f>
        <v>0</v>
      </c>
      <c r="H893" s="1888">
        <f>'Part VI-Revenues &amp; Expenses'!H136</f>
        <v>0</v>
      </c>
      <c r="I893" s="1888">
        <f>'Part VI-Revenues &amp; Expenses'!I136</f>
        <v>0</v>
      </c>
      <c r="J893" s="1888">
        <f>'Part VI-Revenues &amp; Expenses'!J136</f>
        <v>0</v>
      </c>
      <c r="K893" s="1888">
        <f>'Part VI-Revenues &amp; Expenses'!K136</f>
        <v>0</v>
      </c>
      <c r="L893" s="1888">
        <f>'Part VI-Revenues &amp; Expenses'!L136</f>
        <v>0</v>
      </c>
      <c r="M893" s="1888">
        <f>'Part VI-Revenues &amp; Expenses'!M136</f>
        <v>0</v>
      </c>
      <c r="N893" s="1888">
        <f>'Part VI-Revenues &amp; Expenses'!N136</f>
        <v>0</v>
      </c>
      <c r="O893" s="1888">
        <f>'Part VI-Revenues &amp; Expenses'!O136</f>
        <v>0</v>
      </c>
      <c r="P893" s="1888">
        <f>'Part VI-Revenues &amp; Expenses'!P136</f>
        <v>0</v>
      </c>
      <c r="Q893" s="1889"/>
      <c r="R893" s="1775"/>
      <c r="S893" s="1775"/>
      <c r="T893" s="1775"/>
      <c r="U893" s="1775"/>
      <c r="V893" s="1775"/>
      <c r="GT893" s="1824"/>
      <c r="GY893" s="1824"/>
      <c r="GZ893" s="1824"/>
      <c r="HA893" s="1824"/>
      <c r="HB893" s="1824"/>
      <c r="HC893" s="1824"/>
      <c r="HD893" s="1824"/>
      <c r="HE893" s="1824"/>
      <c r="HF893" s="1824"/>
      <c r="HG893" s="1824"/>
      <c r="HH893" s="1824"/>
      <c r="HI893" s="1824"/>
      <c r="HJ893" s="1824"/>
      <c r="HK893" s="1824"/>
      <c r="HL893" s="1824"/>
      <c r="HM893" s="1824"/>
      <c r="HN893" s="1824"/>
      <c r="HO893" s="1824"/>
      <c r="HP893" s="1824"/>
      <c r="HQ893" s="1824"/>
      <c r="HR893" s="1824"/>
      <c r="HS893" s="1824"/>
      <c r="HT893" s="1824"/>
      <c r="HU893" s="1824"/>
      <c r="HV893" s="1824"/>
      <c r="HW893" s="1824"/>
      <c r="HX893" s="1824"/>
      <c r="HY893" s="1824"/>
      <c r="HZ893" s="1824"/>
      <c r="IA893" s="1824"/>
      <c r="IB893" s="1824"/>
      <c r="IC893" s="1824"/>
      <c r="ID893" s="1824"/>
      <c r="IK893" s="1821"/>
      <c r="JA893" s="1821"/>
      <c r="JB893" s="1821"/>
    </row>
    <row r="894" spans="2:262" ht="11.25" customHeight="1">
      <c r="B894" s="1830"/>
      <c r="C894" s="1830" t="s">
        <v>937</v>
      </c>
      <c r="D894" s="1830"/>
      <c r="E894" s="1830"/>
      <c r="F894" s="1830"/>
      <c r="G894" s="1890">
        <f t="shared" ref="G894:P894" si="275">SUM(G892:G893)</f>
        <v>0</v>
      </c>
      <c r="H894" s="1890">
        <f t="shared" si="275"/>
        <v>0</v>
      </c>
      <c r="I894" s="1890">
        <f t="shared" si="275"/>
        <v>0</v>
      </c>
      <c r="J894" s="1890">
        <f t="shared" si="275"/>
        <v>0</v>
      </c>
      <c r="K894" s="1890">
        <f t="shared" si="275"/>
        <v>0</v>
      </c>
      <c r="L894" s="1890">
        <f t="shared" si="275"/>
        <v>0</v>
      </c>
      <c r="M894" s="1890">
        <f t="shared" si="275"/>
        <v>0</v>
      </c>
      <c r="N894" s="1890">
        <f t="shared" si="275"/>
        <v>0</v>
      </c>
      <c r="O894" s="1890">
        <f t="shared" si="275"/>
        <v>0</v>
      </c>
      <c r="P894" s="1890">
        <f t="shared" si="275"/>
        <v>0</v>
      </c>
      <c r="Q894" s="479"/>
      <c r="R894" s="1775"/>
      <c r="S894" s="1775"/>
      <c r="T894" s="1775"/>
      <c r="U894" s="1775"/>
      <c r="V894" s="1775"/>
      <c r="GT894" s="1824"/>
      <c r="GY894" s="1824"/>
      <c r="GZ894" s="1824"/>
      <c r="HA894" s="1824"/>
      <c r="HB894" s="1824"/>
      <c r="HC894" s="1824"/>
      <c r="HD894" s="1824"/>
      <c r="HE894" s="1824"/>
      <c r="HF894" s="1824"/>
      <c r="HG894" s="1824"/>
      <c r="HH894" s="1824"/>
      <c r="HI894" s="1824"/>
      <c r="HJ894" s="1824"/>
      <c r="HK894" s="1824"/>
      <c r="HL894" s="1824"/>
      <c r="HM894" s="1824"/>
      <c r="HN894" s="1824"/>
      <c r="HO894" s="1824"/>
      <c r="HP894" s="1824"/>
      <c r="HQ894" s="1824"/>
      <c r="HR894" s="1824"/>
      <c r="HS894" s="1824"/>
      <c r="HT894" s="1824"/>
      <c r="HU894" s="1824"/>
      <c r="HV894" s="1824"/>
      <c r="HW894" s="1824"/>
      <c r="HX894" s="1824"/>
      <c r="HY894" s="1824"/>
      <c r="HZ894" s="1824"/>
      <c r="IA894" s="1824"/>
      <c r="IB894" s="1824"/>
      <c r="IC894" s="1824"/>
      <c r="ID894" s="1824"/>
      <c r="IK894" s="1821"/>
      <c r="JA894" s="1821"/>
      <c r="JB894" s="1821"/>
    </row>
    <row r="895" spans="2:262" ht="11.25" customHeight="1">
      <c r="B895" s="1885" t="s">
        <v>4784</v>
      </c>
      <c r="C895" s="1330"/>
      <c r="D895" s="1330"/>
      <c r="E895" s="1330"/>
      <c r="F895" s="1330"/>
      <c r="G895" s="1891"/>
      <c r="H895" s="1330"/>
      <c r="I895" s="1330"/>
      <c r="J895" s="1330"/>
      <c r="K895" s="1330"/>
      <c r="L895" s="1330"/>
      <c r="M895" s="1330"/>
      <c r="N895" s="1330"/>
      <c r="O895" s="1330"/>
      <c r="P895" s="1330"/>
      <c r="R895" s="1629" t="str">
        <f>B895</f>
        <v>NOT Included in Mgt Fee:</v>
      </c>
      <c r="GT895" s="1824"/>
      <c r="GY895" s="1824"/>
      <c r="GZ895" s="1824"/>
      <c r="HA895" s="1824"/>
      <c r="HB895" s="1824"/>
      <c r="HC895" s="1824"/>
      <c r="HD895" s="1824"/>
      <c r="HE895" s="1824"/>
      <c r="HF895" s="1824"/>
      <c r="HG895" s="1824"/>
      <c r="HH895" s="1824"/>
      <c r="HI895" s="1824"/>
      <c r="HJ895" s="1824"/>
      <c r="HK895" s="1824"/>
      <c r="HL895" s="1824"/>
      <c r="HM895" s="1824"/>
      <c r="HN895" s="1824"/>
      <c r="HO895" s="1824"/>
      <c r="HP895" s="1824"/>
      <c r="HQ895" s="1824"/>
      <c r="HR895" s="1824"/>
      <c r="HS895" s="1824"/>
      <c r="HT895" s="1824"/>
      <c r="HU895" s="1824"/>
      <c r="HV895" s="1824"/>
      <c r="HW895" s="1824"/>
      <c r="HX895" s="1824"/>
      <c r="HY895" s="1824"/>
      <c r="HZ895" s="1824"/>
      <c r="IA895" s="1824"/>
      <c r="IB895" s="1824"/>
      <c r="IC895" s="1824"/>
      <c r="ID895" s="1824"/>
      <c r="IK895" s="1821"/>
      <c r="JA895" s="1821"/>
      <c r="JB895" s="1821"/>
    </row>
    <row r="896" spans="2:262" ht="11.25" customHeight="1">
      <c r="B896" s="1830" t="s">
        <v>538</v>
      </c>
      <c r="C896" s="1830"/>
      <c r="D896" s="1830"/>
      <c r="E896" s="1830"/>
      <c r="F896" s="1830"/>
      <c r="G896" s="1888">
        <f>'Part VI-Revenues &amp; Expenses'!G139</f>
        <v>0</v>
      </c>
      <c r="H896" s="1888">
        <f>'Part VI-Revenues &amp; Expenses'!H139</f>
        <v>0</v>
      </c>
      <c r="I896" s="1888">
        <f>'Part VI-Revenues &amp; Expenses'!I139</f>
        <v>0</v>
      </c>
      <c r="J896" s="1888">
        <f>'Part VI-Revenues &amp; Expenses'!J139</f>
        <v>0</v>
      </c>
      <c r="K896" s="1888">
        <f>'Part VI-Revenues &amp; Expenses'!K139</f>
        <v>0</v>
      </c>
      <c r="L896" s="1888">
        <f>'Part VI-Revenues &amp; Expenses'!L139</f>
        <v>0</v>
      </c>
      <c r="M896" s="1888">
        <f>'Part VI-Revenues &amp; Expenses'!M139</f>
        <v>0</v>
      </c>
      <c r="N896" s="1888">
        <f>'Part VI-Revenues &amp; Expenses'!N139</f>
        <v>0</v>
      </c>
      <c r="O896" s="1888">
        <f>'Part VI-Revenues &amp; Expenses'!O139</f>
        <v>0</v>
      </c>
      <c r="P896" s="1888">
        <f>'Part VI-Revenues &amp; Expenses'!P139</f>
        <v>0</v>
      </c>
      <c r="Q896" s="1889"/>
      <c r="R896" s="1775"/>
      <c r="S896" s="1775"/>
      <c r="T896" s="1775"/>
      <c r="U896" s="1775"/>
      <c r="V896" s="1775"/>
      <c r="GT896" s="1824"/>
      <c r="GY896" s="1824"/>
      <c r="GZ896" s="1824"/>
      <c r="HA896" s="1824"/>
      <c r="HB896" s="1824"/>
      <c r="HC896" s="1824"/>
      <c r="HD896" s="1824"/>
      <c r="HE896" s="1824"/>
      <c r="HF896" s="1824"/>
      <c r="HG896" s="1824"/>
      <c r="HH896" s="1824"/>
      <c r="HI896" s="1824"/>
      <c r="HJ896" s="1824"/>
      <c r="HK896" s="1824"/>
      <c r="HL896" s="1824"/>
      <c r="HM896" s="1824"/>
      <c r="HN896" s="1824"/>
      <c r="HO896" s="1824"/>
      <c r="HP896" s="1824"/>
      <c r="HQ896" s="1824"/>
      <c r="HR896" s="1824"/>
      <c r="HS896" s="1824"/>
      <c r="HT896" s="1824"/>
      <c r="HU896" s="1824"/>
      <c r="HV896" s="1824"/>
      <c r="HW896" s="1824"/>
      <c r="HX896" s="1824"/>
      <c r="HY896" s="1824"/>
      <c r="HZ896" s="1824"/>
      <c r="IA896" s="1824"/>
      <c r="IB896" s="1824"/>
      <c r="IC896" s="1824"/>
      <c r="ID896" s="1824"/>
      <c r="IK896" s="1821"/>
      <c r="JA896" s="1821"/>
      <c r="JB896" s="1821"/>
    </row>
    <row r="897" spans="2:262" ht="11.25" customHeight="1">
      <c r="B897" s="1830" t="s">
        <v>749</v>
      </c>
      <c r="C897" s="1830">
        <f>'Part VI-Revenues &amp; Expenses'!C140</f>
        <v>0</v>
      </c>
      <c r="D897" s="1830">
        <f>'Part VI-Revenues &amp; Expenses'!D140</f>
        <v>0</v>
      </c>
      <c r="E897" s="1830">
        <f>'Part VI-Revenues &amp; Expenses'!E140</f>
        <v>0</v>
      </c>
      <c r="F897" s="1830">
        <f>'Part VI-Revenues &amp; Expenses'!F140</f>
        <v>0</v>
      </c>
      <c r="G897" s="1888">
        <f>'Part VI-Revenues &amp; Expenses'!G140</f>
        <v>0</v>
      </c>
      <c r="H897" s="1888">
        <f>'Part VI-Revenues &amp; Expenses'!H140</f>
        <v>0</v>
      </c>
      <c r="I897" s="1888">
        <f>'Part VI-Revenues &amp; Expenses'!I140</f>
        <v>0</v>
      </c>
      <c r="J897" s="1888">
        <f>'Part VI-Revenues &amp; Expenses'!J140</f>
        <v>0</v>
      </c>
      <c r="K897" s="1888">
        <f>'Part VI-Revenues &amp; Expenses'!K140</f>
        <v>0</v>
      </c>
      <c r="L897" s="1888">
        <f>'Part VI-Revenues &amp; Expenses'!L140</f>
        <v>0</v>
      </c>
      <c r="M897" s="1888">
        <f>'Part VI-Revenues &amp; Expenses'!M140</f>
        <v>0</v>
      </c>
      <c r="N897" s="1888">
        <f>'Part VI-Revenues &amp; Expenses'!N140</f>
        <v>0</v>
      </c>
      <c r="O897" s="1888">
        <f>'Part VI-Revenues &amp; Expenses'!O140</f>
        <v>0</v>
      </c>
      <c r="P897" s="1888">
        <f>'Part VI-Revenues &amp; Expenses'!P140</f>
        <v>0</v>
      </c>
      <c r="Q897" s="1889"/>
      <c r="R897" s="1775"/>
      <c r="S897" s="1775"/>
      <c r="T897" s="1775"/>
      <c r="U897" s="1775"/>
      <c r="V897" s="1775"/>
      <c r="GT897" s="1824"/>
      <c r="GY897" s="1824"/>
      <c r="GZ897" s="1824"/>
      <c r="HA897" s="1824"/>
      <c r="HB897" s="1824"/>
      <c r="HC897" s="1824"/>
      <c r="HD897" s="1824"/>
      <c r="HE897" s="1824"/>
      <c r="HF897" s="1824"/>
      <c r="HG897" s="1824"/>
      <c r="HH897" s="1824"/>
      <c r="HI897" s="1824"/>
      <c r="HJ897" s="1824"/>
      <c r="HK897" s="1824"/>
      <c r="HL897" s="1824"/>
      <c r="HM897" s="1824"/>
      <c r="HN897" s="1824"/>
      <c r="HO897" s="1824"/>
      <c r="HP897" s="1824"/>
      <c r="HQ897" s="1824"/>
      <c r="HR897" s="1824"/>
      <c r="HS897" s="1824"/>
      <c r="HT897" s="1824"/>
      <c r="HU897" s="1824"/>
      <c r="HV897" s="1824"/>
      <c r="HW897" s="1824"/>
      <c r="HX897" s="1824"/>
      <c r="HY897" s="1824"/>
      <c r="HZ897" s="1824"/>
      <c r="IA897" s="1824"/>
      <c r="IB897" s="1824"/>
      <c r="IC897" s="1824"/>
      <c r="ID897" s="1824"/>
      <c r="IK897" s="1821"/>
      <c r="JA897" s="1821"/>
      <c r="JB897" s="1821"/>
    </row>
    <row r="898" spans="2:262" ht="11.25" customHeight="1">
      <c r="B898" s="1830"/>
      <c r="C898" s="1830" t="s">
        <v>4785</v>
      </c>
      <c r="D898" s="1830"/>
      <c r="E898" s="1830"/>
      <c r="F898" s="1830"/>
      <c r="G898" s="1890">
        <f t="shared" ref="G898:P898" si="276">SUM(G896:G897)</f>
        <v>0</v>
      </c>
      <c r="H898" s="1890">
        <f t="shared" si="276"/>
        <v>0</v>
      </c>
      <c r="I898" s="1890">
        <f t="shared" si="276"/>
        <v>0</v>
      </c>
      <c r="J898" s="1890">
        <f t="shared" si="276"/>
        <v>0</v>
      </c>
      <c r="K898" s="1890">
        <f t="shared" si="276"/>
        <v>0</v>
      </c>
      <c r="L898" s="1890">
        <f t="shared" si="276"/>
        <v>0</v>
      </c>
      <c r="M898" s="1890">
        <f t="shared" si="276"/>
        <v>0</v>
      </c>
      <c r="N898" s="1890">
        <f t="shared" si="276"/>
        <v>0</v>
      </c>
      <c r="O898" s="1890">
        <f t="shared" si="276"/>
        <v>0</v>
      </c>
      <c r="P898" s="1890">
        <f t="shared" si="276"/>
        <v>0</v>
      </c>
      <c r="Q898" s="479"/>
      <c r="R898" s="1775"/>
      <c r="S898" s="1775"/>
      <c r="T898" s="1775"/>
      <c r="U898" s="1775"/>
      <c r="V898" s="1775"/>
      <c r="GT898" s="1824"/>
      <c r="GY898" s="1824"/>
      <c r="GZ898" s="1824"/>
      <c r="HA898" s="1824"/>
      <c r="HB898" s="1824"/>
      <c r="HC898" s="1824"/>
      <c r="HD898" s="1824"/>
      <c r="HE898" s="1824"/>
      <c r="HF898" s="1824"/>
      <c r="HG898" s="1824"/>
      <c r="HH898" s="1824"/>
      <c r="HI898" s="1824"/>
      <c r="HJ898" s="1824"/>
      <c r="HK898" s="1824"/>
      <c r="HL898" s="1824"/>
      <c r="HM898" s="1824"/>
      <c r="HN898" s="1824"/>
      <c r="HO898" s="1824"/>
      <c r="HP898" s="1824"/>
      <c r="HQ898" s="1824"/>
      <c r="HR898" s="1824"/>
      <c r="HS898" s="1824"/>
      <c r="HT898" s="1824"/>
      <c r="HU898" s="1824"/>
      <c r="HV898" s="1824"/>
      <c r="HW898" s="1824"/>
      <c r="HX898" s="1824"/>
      <c r="HY898" s="1824"/>
      <c r="HZ898" s="1824"/>
      <c r="IA898" s="1824"/>
      <c r="IB898" s="1824"/>
      <c r="IC898" s="1824"/>
      <c r="ID898" s="1824"/>
      <c r="IK898" s="1821"/>
      <c r="JA898" s="1821"/>
      <c r="JB898" s="1821"/>
    </row>
    <row r="899" spans="2:262" ht="3" customHeight="1">
      <c r="B899" s="1879"/>
      <c r="C899" s="1330"/>
      <c r="D899" s="1330"/>
      <c r="E899" s="1330"/>
      <c r="F899" s="1330"/>
      <c r="G899" s="1891"/>
      <c r="H899" s="1330"/>
      <c r="I899" s="1330"/>
      <c r="J899" s="1330"/>
      <c r="K899" s="1330"/>
      <c r="L899" s="1330"/>
      <c r="M899" s="1330"/>
      <c r="N899" s="1330"/>
      <c r="O899" s="1330"/>
      <c r="P899" s="1330"/>
      <c r="GT899" s="1824"/>
      <c r="GY899" s="1824"/>
      <c r="GZ899" s="1824"/>
      <c r="HA899" s="1824"/>
      <c r="HB899" s="1824"/>
      <c r="HC899" s="1824"/>
      <c r="HD899" s="1824"/>
      <c r="HE899" s="1824"/>
      <c r="HF899" s="1824"/>
      <c r="HG899" s="1824"/>
      <c r="HH899" s="1824"/>
      <c r="HI899" s="1824"/>
      <c r="HJ899" s="1824"/>
      <c r="HK899" s="1824"/>
      <c r="HL899" s="1824"/>
      <c r="HM899" s="1824"/>
      <c r="HN899" s="1824"/>
      <c r="HO899" s="1824"/>
      <c r="HP899" s="1824"/>
      <c r="HQ899" s="1824"/>
      <c r="HR899" s="1824"/>
      <c r="HS899" s="1824"/>
      <c r="HT899" s="1824"/>
      <c r="HU899" s="1824"/>
      <c r="HV899" s="1824"/>
      <c r="HW899" s="1824"/>
      <c r="HX899" s="1824"/>
      <c r="HY899" s="1824"/>
      <c r="HZ899" s="1824"/>
      <c r="IA899" s="1824"/>
      <c r="IB899" s="1824"/>
      <c r="IC899" s="1824"/>
      <c r="ID899" s="1824"/>
      <c r="IK899" s="1821"/>
      <c r="JA899" s="1821"/>
      <c r="JB899" s="1821"/>
    </row>
    <row r="900" spans="2:262" ht="11.25" customHeight="1">
      <c r="B900" s="1885" t="s">
        <v>2302</v>
      </c>
      <c r="C900" s="1330"/>
      <c r="D900" s="1330"/>
      <c r="E900" s="1330"/>
      <c r="F900" s="1330"/>
      <c r="G900" s="1886">
        <v>21</v>
      </c>
      <c r="H900" s="1886">
        <v>22</v>
      </c>
      <c r="I900" s="1886">
        <v>23</v>
      </c>
      <c r="J900" s="1886">
        <v>24</v>
      </c>
      <c r="K900" s="1886">
        <v>25</v>
      </c>
      <c r="L900" s="1886">
        <v>26</v>
      </c>
      <c r="M900" s="1886">
        <v>27</v>
      </c>
      <c r="N900" s="1886">
        <v>28</v>
      </c>
      <c r="O900" s="1886">
        <v>29</v>
      </c>
      <c r="P900" s="1886">
        <v>30</v>
      </c>
      <c r="Q900" s="1887"/>
      <c r="R900" s="1855" t="s">
        <v>2640</v>
      </c>
      <c r="S900" s="1629" t="str">
        <f>B900</f>
        <v>Included in Mgt Fee:</v>
      </c>
      <c r="GT900" s="1824"/>
      <c r="GY900" s="1824"/>
      <c r="GZ900" s="1824"/>
      <c r="HA900" s="1824"/>
      <c r="HB900" s="1824"/>
      <c r="HC900" s="1824"/>
      <c r="HD900" s="1824"/>
      <c r="HE900" s="1824"/>
      <c r="HF900" s="1824"/>
      <c r="HG900" s="1824"/>
      <c r="HH900" s="1824"/>
      <c r="HI900" s="1824"/>
      <c r="HJ900" s="1824"/>
      <c r="HK900" s="1824"/>
      <c r="HL900" s="1824"/>
      <c r="HM900" s="1824"/>
      <c r="HN900" s="1824"/>
      <c r="HO900" s="1824"/>
      <c r="HP900" s="1824"/>
      <c r="HQ900" s="1824"/>
      <c r="HR900" s="1824"/>
      <c r="HS900" s="1824"/>
      <c r="HT900" s="1824"/>
      <c r="HU900" s="1824"/>
      <c r="HV900" s="1824"/>
      <c r="HW900" s="1824"/>
      <c r="HX900" s="1824"/>
      <c r="HY900" s="1824"/>
      <c r="HZ900" s="1824"/>
      <c r="IA900" s="1824"/>
      <c r="IB900" s="1824"/>
      <c r="IC900" s="1824"/>
      <c r="ID900" s="1824"/>
      <c r="IK900" s="1821"/>
      <c r="JA900" s="1821"/>
      <c r="JB900" s="1821"/>
    </row>
    <row r="901" spans="2:262" ht="11.25" customHeight="1">
      <c r="B901" s="1830" t="s">
        <v>1027</v>
      </c>
      <c r="C901" s="1830"/>
      <c r="D901" s="1830"/>
      <c r="E901" s="1830"/>
      <c r="F901" s="1830"/>
      <c r="G901" s="1888">
        <f>'Part VI-Revenues &amp; Expenses'!G144</f>
        <v>0</v>
      </c>
      <c r="H901" s="1888">
        <f>'Part VI-Revenues &amp; Expenses'!H144</f>
        <v>0</v>
      </c>
      <c r="I901" s="1888">
        <f>'Part VI-Revenues &amp; Expenses'!I144</f>
        <v>0</v>
      </c>
      <c r="J901" s="1888">
        <f>'Part VI-Revenues &amp; Expenses'!J144</f>
        <v>0</v>
      </c>
      <c r="K901" s="1888">
        <f>'Part VI-Revenues &amp; Expenses'!K144</f>
        <v>0</v>
      </c>
      <c r="L901" s="1888">
        <f>'Part VI-Revenues &amp; Expenses'!L144</f>
        <v>0</v>
      </c>
      <c r="M901" s="1888">
        <f>'Part VI-Revenues &amp; Expenses'!M144</f>
        <v>0</v>
      </c>
      <c r="N901" s="1888">
        <f>'Part VI-Revenues &amp; Expenses'!N144</f>
        <v>0</v>
      </c>
      <c r="O901" s="1888">
        <f>'Part VI-Revenues &amp; Expenses'!O144</f>
        <v>0</v>
      </c>
      <c r="P901" s="1888">
        <f>'Part VI-Revenues &amp; Expenses'!P144</f>
        <v>0</v>
      </c>
      <c r="Q901" s="1889"/>
      <c r="R901" s="1775"/>
      <c r="S901" s="1775"/>
      <c r="T901" s="1775"/>
      <c r="U901" s="1775"/>
      <c r="V901" s="1775"/>
      <c r="GT901" s="1824"/>
      <c r="GY901" s="1824"/>
      <c r="GZ901" s="1824"/>
      <c r="HA901" s="1824"/>
      <c r="HB901" s="1824"/>
      <c r="HC901" s="1824"/>
      <c r="HD901" s="1824"/>
      <c r="HE901" s="1824"/>
      <c r="HF901" s="1824"/>
      <c r="HG901" s="1824"/>
      <c r="HH901" s="1824"/>
      <c r="HI901" s="1824"/>
      <c r="HJ901" s="1824"/>
      <c r="HK901" s="1824"/>
      <c r="HL901" s="1824"/>
      <c r="HM901" s="1824"/>
      <c r="HN901" s="1824"/>
      <c r="HO901" s="1824"/>
      <c r="HP901" s="1824"/>
      <c r="HQ901" s="1824"/>
      <c r="HR901" s="1824"/>
      <c r="HS901" s="1824"/>
      <c r="HT901" s="1824"/>
      <c r="HU901" s="1824"/>
      <c r="HV901" s="1824"/>
      <c r="HW901" s="1824"/>
      <c r="HX901" s="1824"/>
      <c r="HY901" s="1824"/>
      <c r="HZ901" s="1824"/>
      <c r="IA901" s="1824"/>
      <c r="IB901" s="1824"/>
      <c r="IC901" s="1824"/>
      <c r="ID901" s="1824"/>
      <c r="IK901" s="1821"/>
      <c r="JA901" s="1821"/>
      <c r="JB901" s="1821"/>
    </row>
    <row r="902" spans="2:262" ht="11.25" customHeight="1">
      <c r="B902" s="1830" t="s">
        <v>749</v>
      </c>
      <c r="C902" s="1830">
        <f>'Part VI-Revenues &amp; Expenses'!C145</f>
        <v>0</v>
      </c>
      <c r="D902" s="1830">
        <f>'Part VI-Revenues &amp; Expenses'!D145</f>
        <v>0</v>
      </c>
      <c r="E902" s="1830">
        <f>'Part VI-Revenues &amp; Expenses'!E145</f>
        <v>0</v>
      </c>
      <c r="F902" s="1830">
        <f>'Part VI-Revenues &amp; Expenses'!F145</f>
        <v>0</v>
      </c>
      <c r="G902" s="1888">
        <f>'Part VI-Revenues &amp; Expenses'!G145</f>
        <v>0</v>
      </c>
      <c r="H902" s="1888">
        <f>'Part VI-Revenues &amp; Expenses'!H145</f>
        <v>0</v>
      </c>
      <c r="I902" s="1888">
        <f>'Part VI-Revenues &amp; Expenses'!I145</f>
        <v>0</v>
      </c>
      <c r="J902" s="1888">
        <f>'Part VI-Revenues &amp; Expenses'!J145</f>
        <v>0</v>
      </c>
      <c r="K902" s="1888">
        <f>'Part VI-Revenues &amp; Expenses'!K145</f>
        <v>0</v>
      </c>
      <c r="L902" s="1888">
        <f>'Part VI-Revenues &amp; Expenses'!L145</f>
        <v>0</v>
      </c>
      <c r="M902" s="1888">
        <f>'Part VI-Revenues &amp; Expenses'!M145</f>
        <v>0</v>
      </c>
      <c r="N902" s="1888">
        <f>'Part VI-Revenues &amp; Expenses'!N145</f>
        <v>0</v>
      </c>
      <c r="O902" s="1888">
        <f>'Part VI-Revenues &amp; Expenses'!O145</f>
        <v>0</v>
      </c>
      <c r="P902" s="1888">
        <f>'Part VI-Revenues &amp; Expenses'!P145</f>
        <v>0</v>
      </c>
      <c r="Q902" s="1889"/>
      <c r="R902" s="1775"/>
      <c r="S902" s="1775"/>
      <c r="T902" s="1775"/>
      <c r="U902" s="1775"/>
      <c r="V902" s="1775"/>
      <c r="GT902" s="1824"/>
      <c r="GY902" s="1824"/>
      <c r="GZ902" s="1824"/>
      <c r="HA902" s="1824"/>
      <c r="HB902" s="1824"/>
      <c r="HC902" s="1824"/>
      <c r="HD902" s="1824"/>
      <c r="HE902" s="1824"/>
      <c r="HF902" s="1824"/>
      <c r="HG902" s="1824"/>
      <c r="HH902" s="1824"/>
      <c r="HI902" s="1824"/>
      <c r="HJ902" s="1824"/>
      <c r="HK902" s="1824"/>
      <c r="HL902" s="1824"/>
      <c r="HM902" s="1824"/>
      <c r="HN902" s="1824"/>
      <c r="HO902" s="1824"/>
      <c r="HP902" s="1824"/>
      <c r="HQ902" s="1824"/>
      <c r="HR902" s="1824"/>
      <c r="HS902" s="1824"/>
      <c r="HT902" s="1824"/>
      <c r="HU902" s="1824"/>
      <c r="HV902" s="1824"/>
      <c r="HW902" s="1824"/>
      <c r="HX902" s="1824"/>
      <c r="HY902" s="1824"/>
      <c r="HZ902" s="1824"/>
      <c r="IA902" s="1824"/>
      <c r="IB902" s="1824"/>
      <c r="IC902" s="1824"/>
      <c r="ID902" s="1824"/>
      <c r="IK902" s="1821"/>
      <c r="JA902" s="1821"/>
      <c r="JB902" s="1821"/>
    </row>
    <row r="903" spans="2:262" ht="11.25" customHeight="1">
      <c r="B903" s="1830"/>
      <c r="C903" s="1830" t="s">
        <v>937</v>
      </c>
      <c r="D903" s="1830"/>
      <c r="E903" s="1830"/>
      <c r="F903" s="1830"/>
      <c r="G903" s="1890">
        <f t="shared" ref="G903:P903" si="277">SUM(G901:G902)</f>
        <v>0</v>
      </c>
      <c r="H903" s="1890">
        <f t="shared" si="277"/>
        <v>0</v>
      </c>
      <c r="I903" s="1890">
        <f t="shared" si="277"/>
        <v>0</v>
      </c>
      <c r="J903" s="1890">
        <f t="shared" si="277"/>
        <v>0</v>
      </c>
      <c r="K903" s="1890">
        <f t="shared" si="277"/>
        <v>0</v>
      </c>
      <c r="L903" s="1890">
        <f t="shared" si="277"/>
        <v>0</v>
      </c>
      <c r="M903" s="1890">
        <f t="shared" si="277"/>
        <v>0</v>
      </c>
      <c r="N903" s="1890">
        <f t="shared" si="277"/>
        <v>0</v>
      </c>
      <c r="O903" s="1890">
        <f t="shared" si="277"/>
        <v>0</v>
      </c>
      <c r="P903" s="1890">
        <f t="shared" si="277"/>
        <v>0</v>
      </c>
      <c r="Q903" s="479"/>
      <c r="R903" s="1775"/>
      <c r="S903" s="1775"/>
      <c r="T903" s="1775"/>
      <c r="U903" s="1775"/>
      <c r="V903" s="1775"/>
      <c r="GT903" s="1824"/>
      <c r="GY903" s="1824"/>
      <c r="GZ903" s="1824"/>
      <c r="HA903" s="1824"/>
      <c r="HB903" s="1824"/>
      <c r="HC903" s="1824"/>
      <c r="HD903" s="1824"/>
      <c r="HE903" s="1824"/>
      <c r="HF903" s="1824"/>
      <c r="HG903" s="1824"/>
      <c r="HH903" s="1824"/>
      <c r="HI903" s="1824"/>
      <c r="HJ903" s="1824"/>
      <c r="HK903" s="1824"/>
      <c r="HL903" s="1824"/>
      <c r="HM903" s="1824"/>
      <c r="HN903" s="1824"/>
      <c r="HO903" s="1824"/>
      <c r="HP903" s="1824"/>
      <c r="HQ903" s="1824"/>
      <c r="HR903" s="1824"/>
      <c r="HS903" s="1824"/>
      <c r="HT903" s="1824"/>
      <c r="HU903" s="1824"/>
      <c r="HV903" s="1824"/>
      <c r="HW903" s="1824"/>
      <c r="HX903" s="1824"/>
      <c r="HY903" s="1824"/>
      <c r="HZ903" s="1824"/>
      <c r="IA903" s="1824"/>
      <c r="IB903" s="1824"/>
      <c r="IC903" s="1824"/>
      <c r="ID903" s="1824"/>
      <c r="IK903" s="1821"/>
      <c r="JA903" s="1821"/>
      <c r="JB903" s="1821"/>
    </row>
    <row r="904" spans="2:262" ht="11.25" customHeight="1">
      <c r="B904" s="1885" t="s">
        <v>4784</v>
      </c>
      <c r="C904" s="1330"/>
      <c r="D904" s="1330"/>
      <c r="E904" s="1330"/>
      <c r="F904" s="1330"/>
      <c r="G904" s="1891"/>
      <c r="H904" s="1330"/>
      <c r="I904" s="1330"/>
      <c r="J904" s="1330"/>
      <c r="K904" s="1330"/>
      <c r="L904" s="1330"/>
      <c r="M904" s="1330"/>
      <c r="N904" s="1330"/>
      <c r="O904" s="1330"/>
      <c r="P904" s="1330"/>
      <c r="R904" s="1629" t="str">
        <f>B904</f>
        <v>NOT Included in Mgt Fee:</v>
      </c>
      <c r="GT904" s="1824"/>
      <c r="GY904" s="1824"/>
      <c r="GZ904" s="1824"/>
      <c r="HA904" s="1824"/>
      <c r="HB904" s="1824"/>
      <c r="HC904" s="1824"/>
      <c r="HD904" s="1824"/>
      <c r="HE904" s="1824"/>
      <c r="HF904" s="1824"/>
      <c r="HG904" s="1824"/>
      <c r="HH904" s="1824"/>
      <c r="HI904" s="1824"/>
      <c r="HJ904" s="1824"/>
      <c r="HK904" s="1824"/>
      <c r="HL904" s="1824"/>
      <c r="HM904" s="1824"/>
      <c r="HN904" s="1824"/>
      <c r="HO904" s="1824"/>
      <c r="HP904" s="1824"/>
      <c r="HQ904" s="1824"/>
      <c r="HR904" s="1824"/>
      <c r="HS904" s="1824"/>
      <c r="HT904" s="1824"/>
      <c r="HU904" s="1824"/>
      <c r="HV904" s="1824"/>
      <c r="HW904" s="1824"/>
      <c r="HX904" s="1824"/>
      <c r="HY904" s="1824"/>
      <c r="HZ904" s="1824"/>
      <c r="IA904" s="1824"/>
      <c r="IB904" s="1824"/>
      <c r="IC904" s="1824"/>
      <c r="ID904" s="1824"/>
      <c r="IK904" s="1821"/>
      <c r="JA904" s="1821"/>
      <c r="JB904" s="1821"/>
    </row>
    <row r="905" spans="2:262" ht="11.25" customHeight="1">
      <c r="B905" s="1830" t="s">
        <v>538</v>
      </c>
      <c r="C905" s="1830"/>
      <c r="D905" s="1830"/>
      <c r="E905" s="1830"/>
      <c r="F905" s="1830"/>
      <c r="G905" s="1888">
        <f>'Part VI-Revenues &amp; Expenses'!G148</f>
        <v>0</v>
      </c>
      <c r="H905" s="1888">
        <f>'Part VI-Revenues &amp; Expenses'!H148</f>
        <v>0</v>
      </c>
      <c r="I905" s="1888">
        <f>'Part VI-Revenues &amp; Expenses'!I148</f>
        <v>0</v>
      </c>
      <c r="J905" s="1888">
        <f>'Part VI-Revenues &amp; Expenses'!J148</f>
        <v>0</v>
      </c>
      <c r="K905" s="1888">
        <f>'Part VI-Revenues &amp; Expenses'!K148</f>
        <v>0</v>
      </c>
      <c r="L905" s="1888">
        <f>'Part VI-Revenues &amp; Expenses'!L148</f>
        <v>0</v>
      </c>
      <c r="M905" s="1888">
        <f>'Part VI-Revenues &amp; Expenses'!M148</f>
        <v>0</v>
      </c>
      <c r="N905" s="1888">
        <f>'Part VI-Revenues &amp; Expenses'!N148</f>
        <v>0</v>
      </c>
      <c r="O905" s="1888">
        <f>'Part VI-Revenues &amp; Expenses'!O148</f>
        <v>0</v>
      </c>
      <c r="P905" s="1888">
        <f>'Part VI-Revenues &amp; Expenses'!P148</f>
        <v>0</v>
      </c>
      <c r="Q905" s="1889"/>
      <c r="R905" s="1775"/>
      <c r="S905" s="1775"/>
      <c r="T905" s="1775"/>
      <c r="U905" s="1775"/>
      <c r="V905" s="1775"/>
      <c r="GT905" s="1824"/>
      <c r="GY905" s="1824"/>
      <c r="GZ905" s="1824"/>
      <c r="HA905" s="1824"/>
      <c r="HB905" s="1824"/>
      <c r="HC905" s="1824"/>
      <c r="HD905" s="1824"/>
      <c r="HE905" s="1824"/>
      <c r="HF905" s="1824"/>
      <c r="HG905" s="1824"/>
      <c r="HH905" s="1824"/>
      <c r="HI905" s="1824"/>
      <c r="HJ905" s="1824"/>
      <c r="HK905" s="1824"/>
      <c r="HL905" s="1824"/>
      <c r="HM905" s="1824"/>
      <c r="HN905" s="1824"/>
      <c r="HO905" s="1824"/>
      <c r="HP905" s="1824"/>
      <c r="HQ905" s="1824"/>
      <c r="HR905" s="1824"/>
      <c r="HS905" s="1824"/>
      <c r="HT905" s="1824"/>
      <c r="HU905" s="1824"/>
      <c r="HV905" s="1824"/>
      <c r="HW905" s="1824"/>
      <c r="HX905" s="1824"/>
      <c r="HY905" s="1824"/>
      <c r="HZ905" s="1824"/>
      <c r="IA905" s="1824"/>
      <c r="IB905" s="1824"/>
      <c r="IC905" s="1824"/>
      <c r="ID905" s="1824"/>
      <c r="IK905" s="1821"/>
      <c r="JA905" s="1821"/>
      <c r="JB905" s="1821"/>
    </row>
    <row r="906" spans="2:262" ht="11.25" customHeight="1">
      <c r="B906" s="1830" t="s">
        <v>749</v>
      </c>
      <c r="C906" s="1830">
        <f>'Part VI-Revenues &amp; Expenses'!C149</f>
        <v>0</v>
      </c>
      <c r="D906" s="1830">
        <f>'Part VI-Revenues &amp; Expenses'!D149</f>
        <v>0</v>
      </c>
      <c r="E906" s="1830">
        <f>'Part VI-Revenues &amp; Expenses'!E149</f>
        <v>0</v>
      </c>
      <c r="F906" s="1830">
        <f>'Part VI-Revenues &amp; Expenses'!F149</f>
        <v>0</v>
      </c>
      <c r="G906" s="1888">
        <f>'Part VI-Revenues &amp; Expenses'!G149</f>
        <v>0</v>
      </c>
      <c r="H906" s="1888">
        <f>'Part VI-Revenues &amp; Expenses'!H149</f>
        <v>0</v>
      </c>
      <c r="I906" s="1888">
        <f>'Part VI-Revenues &amp; Expenses'!I149</f>
        <v>0</v>
      </c>
      <c r="J906" s="1888">
        <f>'Part VI-Revenues &amp; Expenses'!J149</f>
        <v>0</v>
      </c>
      <c r="K906" s="1888">
        <f>'Part VI-Revenues &amp; Expenses'!K149</f>
        <v>0</v>
      </c>
      <c r="L906" s="1888">
        <f>'Part VI-Revenues &amp; Expenses'!L149</f>
        <v>0</v>
      </c>
      <c r="M906" s="1888">
        <f>'Part VI-Revenues &amp; Expenses'!M149</f>
        <v>0</v>
      </c>
      <c r="N906" s="1888">
        <f>'Part VI-Revenues &amp; Expenses'!N149</f>
        <v>0</v>
      </c>
      <c r="O906" s="1888">
        <f>'Part VI-Revenues &amp; Expenses'!O149</f>
        <v>0</v>
      </c>
      <c r="P906" s="1888">
        <f>'Part VI-Revenues &amp; Expenses'!P149</f>
        <v>0</v>
      </c>
      <c r="Q906" s="1889"/>
      <c r="R906" s="1775"/>
      <c r="S906" s="1775"/>
      <c r="T906" s="1775"/>
      <c r="U906" s="1775"/>
      <c r="V906" s="1775"/>
      <c r="GT906" s="1824"/>
      <c r="GY906" s="1824"/>
      <c r="GZ906" s="1824"/>
      <c r="HA906" s="1824"/>
      <c r="HB906" s="1824"/>
      <c r="HC906" s="1824"/>
      <c r="HD906" s="1824"/>
      <c r="HE906" s="1824"/>
      <c r="HF906" s="1824"/>
      <c r="HG906" s="1824"/>
      <c r="HH906" s="1824"/>
      <c r="HI906" s="1824"/>
      <c r="HJ906" s="1824"/>
      <c r="HK906" s="1824"/>
      <c r="HL906" s="1824"/>
      <c r="HM906" s="1824"/>
      <c r="HN906" s="1824"/>
      <c r="HO906" s="1824"/>
      <c r="HP906" s="1824"/>
      <c r="HQ906" s="1824"/>
      <c r="HR906" s="1824"/>
      <c r="HS906" s="1824"/>
      <c r="HT906" s="1824"/>
      <c r="HU906" s="1824"/>
      <c r="HV906" s="1824"/>
      <c r="HW906" s="1824"/>
      <c r="HX906" s="1824"/>
      <c r="HY906" s="1824"/>
      <c r="HZ906" s="1824"/>
      <c r="IA906" s="1824"/>
      <c r="IB906" s="1824"/>
      <c r="IC906" s="1824"/>
      <c r="ID906" s="1824"/>
      <c r="IK906" s="1821"/>
      <c r="JA906" s="1821"/>
      <c r="JB906" s="1821"/>
    </row>
    <row r="907" spans="2:262" ht="11.25" customHeight="1">
      <c r="B907" s="1830"/>
      <c r="C907" s="1830" t="s">
        <v>4785</v>
      </c>
      <c r="D907" s="1830"/>
      <c r="E907" s="1830"/>
      <c r="F907" s="1830"/>
      <c r="G907" s="1890">
        <f t="shared" ref="G907:P907" si="278">SUM(G905:G906)</f>
        <v>0</v>
      </c>
      <c r="H907" s="1890">
        <f t="shared" si="278"/>
        <v>0</v>
      </c>
      <c r="I907" s="1890">
        <f t="shared" si="278"/>
        <v>0</v>
      </c>
      <c r="J907" s="1890">
        <f t="shared" si="278"/>
        <v>0</v>
      </c>
      <c r="K907" s="1890">
        <f t="shared" si="278"/>
        <v>0</v>
      </c>
      <c r="L907" s="1890">
        <f t="shared" si="278"/>
        <v>0</v>
      </c>
      <c r="M907" s="1890">
        <f t="shared" si="278"/>
        <v>0</v>
      </c>
      <c r="N907" s="1890">
        <f t="shared" si="278"/>
        <v>0</v>
      </c>
      <c r="O907" s="1890">
        <f t="shared" si="278"/>
        <v>0</v>
      </c>
      <c r="P907" s="1890">
        <f t="shared" si="278"/>
        <v>0</v>
      </c>
      <c r="Q907" s="479"/>
      <c r="R907" s="1775"/>
      <c r="S907" s="1775"/>
      <c r="T907" s="1775"/>
      <c r="U907" s="1775"/>
      <c r="V907" s="1775"/>
      <c r="GT907" s="1824"/>
      <c r="GY907" s="1824"/>
      <c r="GZ907" s="1824"/>
      <c r="HA907" s="1824"/>
      <c r="HB907" s="1824"/>
      <c r="HC907" s="1824"/>
      <c r="HD907" s="1824"/>
      <c r="HE907" s="1824"/>
      <c r="HF907" s="1824"/>
      <c r="HG907" s="1824"/>
      <c r="HH907" s="1824"/>
      <c r="HI907" s="1824"/>
      <c r="HJ907" s="1824"/>
      <c r="HK907" s="1824"/>
      <c r="HL907" s="1824"/>
      <c r="HM907" s="1824"/>
      <c r="HN907" s="1824"/>
      <c r="HO907" s="1824"/>
      <c r="HP907" s="1824"/>
      <c r="HQ907" s="1824"/>
      <c r="HR907" s="1824"/>
      <c r="HS907" s="1824"/>
      <c r="HT907" s="1824"/>
      <c r="HU907" s="1824"/>
      <c r="HV907" s="1824"/>
      <c r="HW907" s="1824"/>
      <c r="HX907" s="1824"/>
      <c r="HY907" s="1824"/>
      <c r="HZ907" s="1824"/>
      <c r="IA907" s="1824"/>
      <c r="IB907" s="1824"/>
      <c r="IC907" s="1824"/>
      <c r="ID907" s="1824"/>
      <c r="IK907" s="1821"/>
      <c r="JA907" s="1821"/>
      <c r="JB907" s="1821"/>
    </row>
    <row r="908" spans="2:262" ht="3" customHeight="1">
      <c r="B908" s="1879"/>
      <c r="C908" s="1330"/>
      <c r="D908" s="1330"/>
      <c r="E908" s="1330"/>
      <c r="F908" s="1330"/>
      <c r="G908" s="1891"/>
      <c r="H908" s="1330"/>
      <c r="I908" s="1330"/>
      <c r="J908" s="1330"/>
      <c r="K908" s="1330"/>
      <c r="L908" s="1330"/>
      <c r="M908" s="1330"/>
      <c r="N908" s="1330"/>
      <c r="O908" s="1330"/>
      <c r="P908" s="1330"/>
      <c r="GT908" s="1824"/>
      <c r="GY908" s="1824"/>
      <c r="GZ908" s="1824"/>
      <c r="HA908" s="1824"/>
      <c r="HB908" s="1824"/>
      <c r="HC908" s="1824"/>
      <c r="HD908" s="1824"/>
      <c r="HE908" s="1824"/>
      <c r="HF908" s="1824"/>
      <c r="HG908" s="1824"/>
      <c r="HH908" s="1824"/>
      <c r="HI908" s="1824"/>
      <c r="HJ908" s="1824"/>
      <c r="HK908" s="1824"/>
      <c r="HL908" s="1824"/>
      <c r="HM908" s="1824"/>
      <c r="HN908" s="1824"/>
      <c r="HO908" s="1824"/>
      <c r="HP908" s="1824"/>
      <c r="HQ908" s="1824"/>
      <c r="HR908" s="1824"/>
      <c r="HS908" s="1824"/>
      <c r="HT908" s="1824"/>
      <c r="HU908" s="1824"/>
      <c r="HV908" s="1824"/>
      <c r="HW908" s="1824"/>
      <c r="HX908" s="1824"/>
      <c r="HY908" s="1824"/>
      <c r="HZ908" s="1824"/>
      <c r="IA908" s="1824"/>
      <c r="IB908" s="1824"/>
      <c r="IC908" s="1824"/>
      <c r="ID908" s="1824"/>
      <c r="IK908" s="1821"/>
      <c r="JA908" s="1821"/>
      <c r="JB908" s="1821"/>
    </row>
    <row r="909" spans="2:262" ht="11.25" customHeight="1">
      <c r="B909" s="1885" t="s">
        <v>2302</v>
      </c>
      <c r="C909" s="1330"/>
      <c r="D909" s="1330"/>
      <c r="E909" s="1330"/>
      <c r="F909" s="1330"/>
      <c r="G909" s="1886">
        <v>31</v>
      </c>
      <c r="H909" s="1886">
        <v>32</v>
      </c>
      <c r="I909" s="1886">
        <v>33</v>
      </c>
      <c r="J909" s="1886">
        <v>34</v>
      </c>
      <c r="K909" s="1886">
        <v>35</v>
      </c>
      <c r="L909" s="1330"/>
      <c r="M909" s="1330"/>
      <c r="N909" s="1330"/>
      <c r="O909" s="1330"/>
      <c r="P909" s="1330"/>
      <c r="R909" s="1855" t="s">
        <v>2640</v>
      </c>
      <c r="S909" s="1629" t="str">
        <f>B909</f>
        <v>Included in Mgt Fee:</v>
      </c>
      <c r="GT909" s="1824"/>
      <c r="GY909" s="1824"/>
      <c r="GZ909" s="1824"/>
      <c r="HA909" s="1824"/>
      <c r="HB909" s="1824"/>
      <c r="HC909" s="1824"/>
      <c r="HD909" s="1824"/>
      <c r="HE909" s="1824"/>
      <c r="HF909" s="1824"/>
      <c r="HG909" s="1824"/>
      <c r="HH909" s="1824"/>
      <c r="HI909" s="1824"/>
      <c r="HJ909" s="1824"/>
      <c r="HK909" s="1824"/>
      <c r="HL909" s="1824"/>
      <c r="HM909" s="1824"/>
      <c r="HN909" s="1824"/>
      <c r="HO909" s="1824"/>
      <c r="HP909" s="1824"/>
      <c r="HQ909" s="1824"/>
      <c r="HR909" s="1824"/>
      <c r="HS909" s="1824"/>
      <c r="HT909" s="1824"/>
      <c r="HU909" s="1824"/>
      <c r="HV909" s="1824"/>
      <c r="HW909" s="1824"/>
      <c r="HX909" s="1824"/>
      <c r="HY909" s="1824"/>
      <c r="HZ909" s="1824"/>
      <c r="IA909" s="1824"/>
      <c r="IB909" s="1824"/>
      <c r="IC909" s="1824"/>
      <c r="ID909" s="1824"/>
      <c r="IK909" s="1821"/>
      <c r="JA909" s="1821"/>
      <c r="JB909" s="1821"/>
    </row>
    <row r="910" spans="2:262" ht="11.25" customHeight="1">
      <c r="B910" s="1830" t="s">
        <v>1027</v>
      </c>
      <c r="C910" s="1830"/>
      <c r="D910" s="1830"/>
      <c r="E910" s="1830"/>
      <c r="F910" s="1830"/>
      <c r="G910" s="1888">
        <f>'Part VI-Revenues &amp; Expenses'!G153</f>
        <v>0</v>
      </c>
      <c r="H910" s="1888">
        <f>'Part VI-Revenues &amp; Expenses'!H153</f>
        <v>0</v>
      </c>
      <c r="I910" s="1888">
        <f>'Part VI-Revenues &amp; Expenses'!I153</f>
        <v>0</v>
      </c>
      <c r="J910" s="1888">
        <f>'Part VI-Revenues &amp; Expenses'!J153</f>
        <v>0</v>
      </c>
      <c r="K910" s="1888">
        <f>'Part VI-Revenues &amp; Expenses'!K153</f>
        <v>0</v>
      </c>
      <c r="L910" s="1330"/>
      <c r="M910" s="1330"/>
      <c r="N910" s="1330"/>
      <c r="O910" s="1330"/>
      <c r="P910" s="1330"/>
      <c r="R910" s="1775"/>
      <c r="S910" s="1775"/>
      <c r="T910" s="1775"/>
      <c r="U910" s="1775"/>
      <c r="V910" s="1775"/>
      <c r="GT910" s="1824"/>
      <c r="GY910" s="1824"/>
      <c r="GZ910" s="1824"/>
      <c r="HA910" s="1824"/>
      <c r="HB910" s="1824"/>
      <c r="HC910" s="1824"/>
      <c r="HD910" s="1824"/>
      <c r="HE910" s="1824"/>
      <c r="HF910" s="1824"/>
      <c r="HG910" s="1824"/>
      <c r="HH910" s="1824"/>
      <c r="HI910" s="1824"/>
      <c r="HJ910" s="1824"/>
      <c r="HK910" s="1824"/>
      <c r="HL910" s="1824"/>
      <c r="HM910" s="1824"/>
      <c r="HN910" s="1824"/>
      <c r="HO910" s="1824"/>
      <c r="HP910" s="1824"/>
      <c r="HQ910" s="1824"/>
      <c r="HR910" s="1824"/>
      <c r="HS910" s="1824"/>
      <c r="HT910" s="1824"/>
      <c r="HU910" s="1824"/>
      <c r="HV910" s="1824"/>
      <c r="HW910" s="1824"/>
      <c r="HX910" s="1824"/>
      <c r="HY910" s="1824"/>
      <c r="HZ910" s="1824"/>
      <c r="IA910" s="1824"/>
      <c r="IB910" s="1824"/>
      <c r="IC910" s="1824"/>
      <c r="ID910" s="1824"/>
      <c r="IK910" s="1821"/>
      <c r="JA910" s="1821"/>
      <c r="JB910" s="1821"/>
    </row>
    <row r="911" spans="2:262" ht="11.25" customHeight="1">
      <c r="B911" s="1830" t="s">
        <v>749</v>
      </c>
      <c r="C911" s="1830">
        <f>'Part VI-Revenues &amp; Expenses'!C154</f>
        <v>0</v>
      </c>
      <c r="D911" s="1830">
        <f>'Part VI-Revenues &amp; Expenses'!D154</f>
        <v>0</v>
      </c>
      <c r="E911" s="1830">
        <f>'Part VI-Revenues &amp; Expenses'!E154</f>
        <v>0</v>
      </c>
      <c r="F911" s="1830">
        <f>'Part VI-Revenues &amp; Expenses'!F154</f>
        <v>0</v>
      </c>
      <c r="G911" s="1888">
        <f>'Part VI-Revenues &amp; Expenses'!G154</f>
        <v>0</v>
      </c>
      <c r="H911" s="1888">
        <f>'Part VI-Revenues &amp; Expenses'!H154</f>
        <v>0</v>
      </c>
      <c r="I911" s="1888">
        <f>'Part VI-Revenues &amp; Expenses'!I154</f>
        <v>0</v>
      </c>
      <c r="J911" s="1888">
        <f>'Part VI-Revenues &amp; Expenses'!J154</f>
        <v>0</v>
      </c>
      <c r="K911" s="1888">
        <f>'Part VI-Revenues &amp; Expenses'!K154</f>
        <v>0</v>
      </c>
      <c r="L911" s="1330"/>
      <c r="M911" s="1330"/>
      <c r="N911" s="1330"/>
      <c r="O911" s="1330"/>
      <c r="P911" s="1330"/>
      <c r="R911" s="1775"/>
      <c r="S911" s="1775"/>
      <c r="T911" s="1775"/>
      <c r="U911" s="1775"/>
      <c r="V911" s="1775"/>
      <c r="GT911" s="1824"/>
      <c r="GY911" s="1824"/>
      <c r="GZ911" s="1824"/>
      <c r="HA911" s="1824"/>
      <c r="HB911" s="1824"/>
      <c r="HC911" s="1824"/>
      <c r="HD911" s="1824"/>
      <c r="HE911" s="1824"/>
      <c r="HF911" s="1824"/>
      <c r="HG911" s="1824"/>
      <c r="HH911" s="1824"/>
      <c r="HI911" s="1824"/>
      <c r="HJ911" s="1824"/>
      <c r="HK911" s="1824"/>
      <c r="HL911" s="1824"/>
      <c r="HM911" s="1824"/>
      <c r="HN911" s="1824"/>
      <c r="HO911" s="1824"/>
      <c r="HP911" s="1824"/>
      <c r="HQ911" s="1824"/>
      <c r="HR911" s="1824"/>
      <c r="HS911" s="1824"/>
      <c r="HT911" s="1824"/>
      <c r="HU911" s="1824"/>
      <c r="HV911" s="1824"/>
      <c r="HW911" s="1824"/>
      <c r="HX911" s="1824"/>
      <c r="HY911" s="1824"/>
      <c r="HZ911" s="1824"/>
      <c r="IA911" s="1824"/>
      <c r="IB911" s="1824"/>
      <c r="IC911" s="1824"/>
      <c r="ID911" s="1824"/>
      <c r="IK911" s="1821"/>
      <c r="JA911" s="1821"/>
      <c r="JB911" s="1821"/>
    </row>
    <row r="912" spans="2:262" ht="11.25" customHeight="1">
      <c r="B912" s="1830"/>
      <c r="C912" s="1830" t="s">
        <v>937</v>
      </c>
      <c r="D912" s="1830"/>
      <c r="E912" s="1830"/>
      <c r="F912" s="1830"/>
      <c r="G912" s="1890">
        <f>SUM(G910:G911)</f>
        <v>0</v>
      </c>
      <c r="H912" s="1890">
        <f>SUM(H910:H911)</f>
        <v>0</v>
      </c>
      <c r="I912" s="1890">
        <f>SUM(I910:I911)</f>
        <v>0</v>
      </c>
      <c r="J912" s="1890">
        <f>SUM(J910:J911)</f>
        <v>0</v>
      </c>
      <c r="K912" s="1890">
        <f>SUM(K910:K911)</f>
        <v>0</v>
      </c>
      <c r="L912" s="1330"/>
      <c r="M912" s="1330"/>
      <c r="N912" s="1330"/>
      <c r="O912" s="1330"/>
      <c r="P912" s="1330"/>
      <c r="R912" s="1775"/>
      <c r="S912" s="1775"/>
      <c r="T912" s="1775"/>
      <c r="U912" s="1775"/>
      <c r="V912" s="1775"/>
      <c r="GT912" s="1824"/>
      <c r="GY912" s="1824"/>
      <c r="GZ912" s="1824"/>
      <c r="HA912" s="1824"/>
      <c r="HB912" s="1824"/>
      <c r="HC912" s="1824"/>
      <c r="HD912" s="1824"/>
      <c r="HE912" s="1824"/>
      <c r="HF912" s="1824"/>
      <c r="HG912" s="1824"/>
      <c r="HH912" s="1824"/>
      <c r="HI912" s="1824"/>
      <c r="HJ912" s="1824"/>
      <c r="HK912" s="1824"/>
      <c r="HL912" s="1824"/>
      <c r="HM912" s="1824"/>
      <c r="HN912" s="1824"/>
      <c r="HO912" s="1824"/>
      <c r="HP912" s="1824"/>
      <c r="HQ912" s="1824"/>
      <c r="HR912" s="1824"/>
      <c r="HS912" s="1824"/>
      <c r="HT912" s="1824"/>
      <c r="HU912" s="1824"/>
      <c r="HV912" s="1824"/>
      <c r="HW912" s="1824"/>
      <c r="HX912" s="1824"/>
      <c r="HY912" s="1824"/>
      <c r="HZ912" s="1824"/>
      <c r="IA912" s="1824"/>
      <c r="IB912" s="1824"/>
      <c r="IC912" s="1824"/>
      <c r="ID912" s="1824"/>
      <c r="IK912" s="1821"/>
      <c r="JA912" s="1821"/>
      <c r="JB912" s="1821"/>
    </row>
    <row r="913" spans="1:262" ht="11.25" customHeight="1">
      <c r="B913" s="1885" t="s">
        <v>4784</v>
      </c>
      <c r="C913" s="1330"/>
      <c r="D913" s="1330"/>
      <c r="E913" s="1330"/>
      <c r="F913" s="1330"/>
      <c r="G913" s="1891"/>
      <c r="H913" s="1330"/>
      <c r="I913" s="1330"/>
      <c r="J913" s="1330"/>
      <c r="K913" s="1330"/>
      <c r="L913" s="1330"/>
      <c r="M913" s="1330"/>
      <c r="N913" s="1330"/>
      <c r="O913" s="1330"/>
      <c r="P913" s="1330"/>
      <c r="R913" s="1629" t="str">
        <f>B913</f>
        <v>NOT Included in Mgt Fee:</v>
      </c>
      <c r="GT913" s="1824"/>
      <c r="GY913" s="1824"/>
      <c r="GZ913" s="1824"/>
      <c r="HA913" s="1824"/>
      <c r="HB913" s="1824"/>
      <c r="HC913" s="1824"/>
      <c r="HD913" s="1824"/>
      <c r="HE913" s="1824"/>
      <c r="HF913" s="1824"/>
      <c r="HG913" s="1824"/>
      <c r="HH913" s="1824"/>
      <c r="HI913" s="1824"/>
      <c r="HJ913" s="1824"/>
      <c r="HK913" s="1824"/>
      <c r="HL913" s="1824"/>
      <c r="HM913" s="1824"/>
      <c r="HN913" s="1824"/>
      <c r="HO913" s="1824"/>
      <c r="HP913" s="1824"/>
      <c r="HQ913" s="1824"/>
      <c r="HR913" s="1824"/>
      <c r="HS913" s="1824"/>
      <c r="HT913" s="1824"/>
      <c r="HU913" s="1824"/>
      <c r="HV913" s="1824"/>
      <c r="HW913" s="1824"/>
      <c r="HX913" s="1824"/>
      <c r="HY913" s="1824"/>
      <c r="HZ913" s="1824"/>
      <c r="IA913" s="1824"/>
      <c r="IB913" s="1824"/>
      <c r="IC913" s="1824"/>
      <c r="ID913" s="1824"/>
      <c r="IK913" s="1821"/>
      <c r="JA913" s="1821"/>
      <c r="JB913" s="1821"/>
    </row>
    <row r="914" spans="1:262" ht="11.25" customHeight="1">
      <c r="B914" s="1830" t="s">
        <v>538</v>
      </c>
      <c r="C914" s="1830"/>
      <c r="D914" s="1830"/>
      <c r="E914" s="1830"/>
      <c r="F914" s="1830"/>
      <c r="G914" s="1888">
        <f>'Part VI-Revenues &amp; Expenses'!G157</f>
        <v>0</v>
      </c>
      <c r="H914" s="1888">
        <f>'Part VI-Revenues &amp; Expenses'!H157</f>
        <v>0</v>
      </c>
      <c r="I914" s="1888">
        <f>'Part VI-Revenues &amp; Expenses'!I157</f>
        <v>0</v>
      </c>
      <c r="J914" s="1888">
        <f>'Part VI-Revenues &amp; Expenses'!J157</f>
        <v>0</v>
      </c>
      <c r="K914" s="1892">
        <f>'Part VI-Revenues &amp; Expenses'!K157</f>
        <v>0</v>
      </c>
      <c r="L914" s="1330"/>
      <c r="M914" s="1330"/>
      <c r="N914" s="1330"/>
      <c r="O914" s="1330"/>
      <c r="P914" s="1330"/>
      <c r="R914" s="1775"/>
      <c r="S914" s="1775"/>
      <c r="T914" s="1775"/>
      <c r="U914" s="1775"/>
      <c r="V914" s="1775"/>
      <c r="GT914" s="1824"/>
      <c r="GY914" s="1824"/>
      <c r="GZ914" s="1824"/>
      <c r="HA914" s="1824"/>
      <c r="HB914" s="1824"/>
      <c r="HC914" s="1824"/>
      <c r="HD914" s="1824"/>
      <c r="HE914" s="1824"/>
      <c r="HF914" s="1824"/>
      <c r="HG914" s="1824"/>
      <c r="HH914" s="1824"/>
      <c r="HI914" s="1824"/>
      <c r="HJ914" s="1824"/>
      <c r="HK914" s="1824"/>
      <c r="HL914" s="1824"/>
      <c r="HM914" s="1824"/>
      <c r="HN914" s="1824"/>
      <c r="HO914" s="1824"/>
      <c r="HP914" s="1824"/>
      <c r="HQ914" s="1824"/>
      <c r="HR914" s="1824"/>
      <c r="HS914" s="1824"/>
      <c r="HT914" s="1824"/>
      <c r="HU914" s="1824"/>
      <c r="HV914" s="1824"/>
      <c r="HW914" s="1824"/>
      <c r="HX914" s="1824"/>
      <c r="HY914" s="1824"/>
      <c r="HZ914" s="1824"/>
      <c r="IA914" s="1824"/>
      <c r="IB914" s="1824"/>
      <c r="IC914" s="1824"/>
      <c r="ID914" s="1824"/>
      <c r="IK914" s="1821"/>
      <c r="JA914" s="1821"/>
      <c r="JB914" s="1821"/>
    </row>
    <row r="915" spans="1:262" ht="11.25" customHeight="1">
      <c r="B915" s="1830" t="s">
        <v>749</v>
      </c>
      <c r="C915" s="1830">
        <f>'Part VI-Revenues &amp; Expenses'!C158</f>
        <v>0</v>
      </c>
      <c r="D915" s="1830">
        <f>'Part VI-Revenues &amp; Expenses'!D158</f>
        <v>0</v>
      </c>
      <c r="E915" s="1830">
        <f>'Part VI-Revenues &amp; Expenses'!E158</f>
        <v>0</v>
      </c>
      <c r="F915" s="1830">
        <f>'Part VI-Revenues &amp; Expenses'!F158</f>
        <v>0</v>
      </c>
      <c r="G915" s="1888">
        <f>'Part VI-Revenues &amp; Expenses'!G158</f>
        <v>0</v>
      </c>
      <c r="H915" s="1888">
        <f>'Part VI-Revenues &amp; Expenses'!H158</f>
        <v>0</v>
      </c>
      <c r="I915" s="1888">
        <f>'Part VI-Revenues &amp; Expenses'!I158</f>
        <v>0</v>
      </c>
      <c r="J915" s="1888">
        <f>'Part VI-Revenues &amp; Expenses'!J158</f>
        <v>0</v>
      </c>
      <c r="K915" s="1892">
        <f>'Part VI-Revenues &amp; Expenses'!K158</f>
        <v>0</v>
      </c>
      <c r="L915" s="1330"/>
      <c r="M915" s="1330"/>
      <c r="N915" s="1330"/>
      <c r="O915" s="1330"/>
      <c r="P915" s="1330"/>
      <c r="R915" s="1775"/>
      <c r="S915" s="1775"/>
      <c r="T915" s="1775"/>
      <c r="U915" s="1775"/>
      <c r="V915" s="1775"/>
      <c r="GT915" s="1824"/>
      <c r="GY915" s="1824"/>
      <c r="GZ915" s="1824"/>
      <c r="HA915" s="1824"/>
      <c r="HB915" s="1824"/>
      <c r="HC915" s="1824"/>
      <c r="HD915" s="1824"/>
      <c r="HE915" s="1824"/>
      <c r="HF915" s="1824"/>
      <c r="HG915" s="1824"/>
      <c r="HH915" s="1824"/>
      <c r="HI915" s="1824"/>
      <c r="HJ915" s="1824"/>
      <c r="HK915" s="1824"/>
      <c r="HL915" s="1824"/>
      <c r="HM915" s="1824"/>
      <c r="HN915" s="1824"/>
      <c r="HO915" s="1824"/>
      <c r="HP915" s="1824"/>
      <c r="HQ915" s="1824"/>
      <c r="HR915" s="1824"/>
      <c r="HS915" s="1824"/>
      <c r="HT915" s="1824"/>
      <c r="HU915" s="1824"/>
      <c r="HV915" s="1824"/>
      <c r="HW915" s="1824"/>
      <c r="HX915" s="1824"/>
      <c r="HY915" s="1824"/>
      <c r="HZ915" s="1824"/>
      <c r="IA915" s="1824"/>
      <c r="IB915" s="1824"/>
      <c r="IC915" s="1824"/>
      <c r="ID915" s="1824"/>
      <c r="IK915" s="1821"/>
      <c r="JA915" s="1821"/>
      <c r="JB915" s="1821"/>
    </row>
    <row r="916" spans="1:262" ht="11.25" customHeight="1">
      <c r="B916" s="1830"/>
      <c r="C916" s="1830" t="s">
        <v>4785</v>
      </c>
      <c r="D916" s="1830"/>
      <c r="E916" s="1830"/>
      <c r="F916" s="1830"/>
      <c r="G916" s="1890">
        <f>SUM(G914:G915)</f>
        <v>0</v>
      </c>
      <c r="H916" s="1890">
        <f>SUM(H914:H915)</f>
        <v>0</v>
      </c>
      <c r="I916" s="1890">
        <f>SUM(I914:I915)</f>
        <v>0</v>
      </c>
      <c r="J916" s="1890">
        <f>SUM(J914:J915)</f>
        <v>0</v>
      </c>
      <c r="K916" s="1890">
        <f>SUM(K914:K915)</f>
        <v>0</v>
      </c>
      <c r="L916" s="1330"/>
      <c r="M916" s="1330"/>
      <c r="N916" s="1330"/>
      <c r="O916" s="1330"/>
      <c r="P916" s="1330"/>
      <c r="R916" s="1775"/>
      <c r="S916" s="1775"/>
      <c r="T916" s="1775"/>
      <c r="U916" s="1775"/>
      <c r="V916" s="1775"/>
      <c r="GT916" s="1824"/>
      <c r="GY916" s="1824"/>
      <c r="GZ916" s="1824"/>
      <c r="HA916" s="1824"/>
      <c r="HB916" s="1824"/>
      <c r="HC916" s="1824"/>
      <c r="HD916" s="1824"/>
      <c r="HE916" s="1824"/>
      <c r="HF916" s="1824"/>
      <c r="HG916" s="1824"/>
      <c r="HH916" s="1824"/>
      <c r="HI916" s="1824"/>
      <c r="HJ916" s="1824"/>
      <c r="HK916" s="1824"/>
      <c r="HL916" s="1824"/>
      <c r="HM916" s="1824"/>
      <c r="HN916" s="1824"/>
      <c r="HO916" s="1824"/>
      <c r="HP916" s="1824"/>
      <c r="HQ916" s="1824"/>
      <c r="HR916" s="1824"/>
      <c r="HS916" s="1824"/>
      <c r="HT916" s="1824"/>
      <c r="HU916" s="1824"/>
      <c r="HV916" s="1824"/>
      <c r="HW916" s="1824"/>
      <c r="HX916" s="1824"/>
      <c r="HY916" s="1824"/>
      <c r="HZ916" s="1824"/>
      <c r="IA916" s="1824"/>
      <c r="IB916" s="1824"/>
      <c r="IC916" s="1824"/>
      <c r="ID916" s="1824"/>
      <c r="IK916" s="1821"/>
      <c r="JA916" s="1821"/>
      <c r="JB916" s="1821"/>
    </row>
    <row r="917" spans="1:262" ht="2.25" customHeight="1">
      <c r="B917" s="1821"/>
      <c r="F917" s="1893"/>
      <c r="G917" s="1893"/>
      <c r="GT917" s="1824"/>
      <c r="GY917" s="1824"/>
      <c r="GZ917" s="1824"/>
      <c r="HA917" s="1824"/>
      <c r="HB917" s="1824"/>
      <c r="HC917" s="1824"/>
      <c r="HD917" s="1824"/>
      <c r="HE917" s="1824"/>
      <c r="HF917" s="1824"/>
      <c r="HG917" s="1824"/>
      <c r="HH917" s="1824"/>
      <c r="HI917" s="1824"/>
      <c r="HJ917" s="1824"/>
      <c r="HK917" s="1824"/>
      <c r="HL917" s="1824"/>
      <c r="HM917" s="1824"/>
      <c r="HN917" s="1824"/>
      <c r="HO917" s="1824"/>
      <c r="HP917" s="1824"/>
      <c r="HQ917" s="1824"/>
      <c r="HR917" s="1824"/>
      <c r="HS917" s="1824"/>
      <c r="HT917" s="1824"/>
      <c r="HU917" s="1824"/>
      <c r="HV917" s="1824"/>
      <c r="HW917" s="1824"/>
      <c r="HX917" s="1824"/>
      <c r="HY917" s="1824"/>
      <c r="HZ917" s="1824"/>
      <c r="IA917" s="1824"/>
      <c r="IB917" s="1824"/>
      <c r="IC917" s="1824"/>
      <c r="ID917" s="1824"/>
      <c r="IK917" s="1821"/>
      <c r="JA917" s="1821"/>
      <c r="JB917" s="1821"/>
    </row>
    <row r="918" spans="1:262" s="1629" customFormat="1" ht="11.25" customHeight="1">
      <c r="A918" s="1818" t="s">
        <v>1805</v>
      </c>
      <c r="B918" s="1819" t="s">
        <v>1029</v>
      </c>
      <c r="C918" s="1819"/>
      <c r="D918" s="1819"/>
      <c r="E918" s="1819"/>
      <c r="F918" s="1819"/>
      <c r="G918" s="1819"/>
      <c r="H918" s="1819"/>
      <c r="I918" s="1819"/>
      <c r="J918" s="1819"/>
      <c r="K918" s="1819"/>
      <c r="M918" s="1860"/>
      <c r="N918" s="1828"/>
      <c r="O918" s="1828"/>
      <c r="R918" s="1818" t="str">
        <f>B918</f>
        <v>ANNUAL OPERATING EXPENSE BUDGET</v>
      </c>
      <c r="S918" s="683"/>
      <c r="W918" s="683"/>
      <c r="GT918" s="1828"/>
      <c r="GY918" s="1828"/>
      <c r="GZ918" s="1828"/>
      <c r="HA918" s="1828"/>
      <c r="HB918" s="1828"/>
      <c r="HC918" s="1828"/>
      <c r="HD918" s="1828"/>
      <c r="HE918" s="1828"/>
      <c r="HF918" s="1828"/>
      <c r="HG918" s="1828"/>
      <c r="HH918" s="1828"/>
      <c r="HI918" s="1828"/>
      <c r="HJ918" s="1828"/>
      <c r="HK918" s="1828"/>
      <c r="HL918" s="1828"/>
      <c r="HM918" s="1828"/>
      <c r="HN918" s="1828"/>
      <c r="HO918" s="1828"/>
      <c r="HP918" s="1828"/>
      <c r="HQ918" s="1828"/>
      <c r="HR918" s="1828"/>
      <c r="HS918" s="1828"/>
      <c r="HT918" s="1828"/>
      <c r="HU918" s="1828"/>
      <c r="HV918" s="1828"/>
      <c r="HW918" s="1828"/>
      <c r="HX918" s="1828"/>
      <c r="HY918" s="1828"/>
      <c r="HZ918" s="1828"/>
      <c r="IA918" s="1828"/>
      <c r="IB918" s="1828"/>
      <c r="IC918" s="1828"/>
      <c r="ID918" s="1828"/>
      <c r="IK918" s="1818"/>
      <c r="JA918" s="1818"/>
      <c r="JB918" s="1818"/>
    </row>
    <row r="919" spans="1:262" s="1629" customFormat="1" ht="9" customHeight="1">
      <c r="B919" s="1819"/>
      <c r="C919" s="1819"/>
      <c r="D919" s="1819"/>
      <c r="E919" s="1819"/>
      <c r="F919" s="1819"/>
      <c r="G919" s="1819"/>
      <c r="H919" s="1819"/>
      <c r="I919" s="1819"/>
      <c r="J919" s="1819"/>
      <c r="R919" s="1894" t="s">
        <v>1859</v>
      </c>
      <c r="S919" s="1894"/>
      <c r="GT919" s="1828"/>
      <c r="GY919" s="1828"/>
      <c r="GZ919" s="1828"/>
      <c r="HA919" s="1828"/>
      <c r="HB919" s="1828"/>
      <c r="HC919" s="1828"/>
      <c r="HD919" s="1828"/>
      <c r="HE919" s="1828"/>
      <c r="HF919" s="1828"/>
      <c r="HG919" s="1828"/>
      <c r="HH919" s="1828"/>
      <c r="HI919" s="1828"/>
      <c r="HJ919" s="1828"/>
      <c r="HK919" s="1828"/>
      <c r="HL919" s="1828"/>
      <c r="HM919" s="1828"/>
      <c r="HN919" s="1828"/>
      <c r="HO919" s="1828"/>
      <c r="HP919" s="1828"/>
      <c r="HQ919" s="1828"/>
      <c r="HR919" s="1828"/>
      <c r="HS919" s="1828"/>
      <c r="HT919" s="1828"/>
      <c r="HU919" s="1828"/>
      <c r="HV919" s="1828"/>
      <c r="HW919" s="1828"/>
      <c r="HX919" s="1828"/>
      <c r="HY919" s="1828"/>
      <c r="HZ919" s="1828"/>
      <c r="IA919" s="1828"/>
      <c r="IB919" s="1828"/>
      <c r="IC919" s="1828"/>
      <c r="ID919" s="1828"/>
      <c r="IK919" s="1818"/>
      <c r="JA919" s="1818"/>
      <c r="JB919" s="1818"/>
    </row>
    <row r="920" spans="1:262" s="1629" customFormat="1" ht="13.15" customHeight="1">
      <c r="B920" s="1818" t="s">
        <v>1302</v>
      </c>
      <c r="F920" s="683"/>
      <c r="G920" s="683"/>
      <c r="I920" s="1818" t="s">
        <v>1389</v>
      </c>
      <c r="N920" s="1818" t="s">
        <v>1388</v>
      </c>
      <c r="R920" s="1775"/>
      <c r="S920" s="1775"/>
      <c r="T920" s="1775"/>
      <c r="U920" s="1775"/>
      <c r="V920" s="1775"/>
      <c r="W920" s="683"/>
      <c r="GT920" s="1828"/>
      <c r="GY920" s="1828"/>
      <c r="GZ920" s="1828"/>
      <c r="HA920" s="1828"/>
      <c r="HB920" s="1828"/>
      <c r="HC920" s="1828"/>
      <c r="HD920" s="1828"/>
      <c r="HE920" s="1828"/>
      <c r="HF920" s="1828"/>
      <c r="HG920" s="1828"/>
      <c r="HH920" s="1828"/>
      <c r="HI920" s="1828"/>
      <c r="HJ920" s="1828"/>
      <c r="HK920" s="1828"/>
      <c r="HL920" s="1828"/>
      <c r="HM920" s="1828"/>
      <c r="HN920" s="1828"/>
      <c r="HO920" s="1828"/>
      <c r="HP920" s="1828"/>
      <c r="HQ920" s="1828"/>
      <c r="HR920" s="1828"/>
      <c r="HS920" s="1828"/>
      <c r="HT920" s="1828"/>
      <c r="HU920" s="1828"/>
      <c r="HV920" s="1828"/>
      <c r="HW920" s="1828"/>
      <c r="HX920" s="1828"/>
      <c r="HY920" s="1828"/>
      <c r="HZ920" s="1828"/>
      <c r="IA920" s="1828"/>
      <c r="IB920" s="1828"/>
      <c r="IC920" s="1828"/>
      <c r="ID920" s="1828"/>
      <c r="IK920" s="1818"/>
      <c r="JA920" s="1818"/>
      <c r="JB920" s="1818"/>
    </row>
    <row r="921" spans="1:262" s="1629" customFormat="1" ht="15.6" customHeight="1">
      <c r="B921" s="1629" t="s">
        <v>2212</v>
      </c>
      <c r="F921" s="1878">
        <f>'Part VI-Revenues &amp; Expenses'!F164</f>
        <v>25000</v>
      </c>
      <c r="G921" s="1878">
        <f>'Part VI-Revenues &amp; Expenses'!G164</f>
        <v>0</v>
      </c>
      <c r="I921" s="1629" t="s">
        <v>1390</v>
      </c>
      <c r="K921" s="1878">
        <f>'Part VI-Revenues &amp; Expenses'!K164</f>
        <v>10000</v>
      </c>
      <c r="L921" s="1878">
        <f>'Part VI-Revenues &amp; Expenses'!L164</f>
        <v>0</v>
      </c>
      <c r="N921" s="1629" t="s">
        <v>938</v>
      </c>
      <c r="P921" s="1889">
        <f>'Part VI-Revenues &amp; Expenses'!P164</f>
        <v>28564</v>
      </c>
      <c r="Q921" s="1889"/>
      <c r="R921" s="1775"/>
      <c r="S921" s="1775"/>
      <c r="T921" s="1775"/>
      <c r="U921" s="1775"/>
      <c r="V921" s="1775"/>
      <c r="W921" s="683"/>
      <c r="GT921" s="1828"/>
      <c r="GY921" s="1828"/>
      <c r="GZ921" s="1828"/>
      <c r="HA921" s="1828"/>
      <c r="HB921" s="1828"/>
      <c r="HC921" s="1828"/>
      <c r="HD921" s="1828"/>
      <c r="HE921" s="1828"/>
      <c r="HF921" s="1828"/>
      <c r="HG921" s="1828"/>
      <c r="HH921" s="1828"/>
      <c r="HI921" s="1828"/>
      <c r="HJ921" s="1828"/>
      <c r="HK921" s="1828"/>
      <c r="HL921" s="1828"/>
      <c r="HM921" s="1828"/>
      <c r="HN921" s="1828"/>
      <c r="HO921" s="1828"/>
      <c r="HP921" s="1828"/>
      <c r="HQ921" s="1828"/>
      <c r="HR921" s="1828"/>
      <c r="HS921" s="1828"/>
      <c r="HT921" s="1828"/>
      <c r="HU921" s="1828"/>
      <c r="HV921" s="1828"/>
      <c r="HW921" s="1828"/>
      <c r="HX921" s="1828"/>
      <c r="HY921" s="1828"/>
      <c r="HZ921" s="1828"/>
      <c r="IA921" s="1828"/>
      <c r="IB921" s="1828"/>
      <c r="IC921" s="1828"/>
      <c r="ID921" s="1828"/>
      <c r="IK921" s="1818"/>
      <c r="JA921" s="1818"/>
      <c r="JB921" s="1818"/>
    </row>
    <row r="922" spans="1:262" s="1629" customFormat="1" ht="15.6" customHeight="1">
      <c r="B922" s="1629" t="s">
        <v>1379</v>
      </c>
      <c r="F922" s="1878">
        <f>'Part VI-Revenues &amp; Expenses'!F165</f>
        <v>40000</v>
      </c>
      <c r="G922" s="1878">
        <f>'Part VI-Revenues &amp; Expenses'!G165</f>
        <v>0</v>
      </c>
      <c r="I922" s="1629" t="s">
        <v>1391</v>
      </c>
      <c r="K922" s="1878">
        <f>'Part VI-Revenues &amp; Expenses'!K165</f>
        <v>7500</v>
      </c>
      <c r="L922" s="1878">
        <f>'Part VI-Revenues &amp; Expenses'!L165</f>
        <v>0</v>
      </c>
      <c r="N922" s="1629" t="s">
        <v>148</v>
      </c>
      <c r="P922" s="1889">
        <f>'Part VI-Revenues &amp; Expenses'!P165</f>
        <v>21069</v>
      </c>
      <c r="Q922" s="1889"/>
      <c r="R922" s="1775"/>
      <c r="S922" s="1775"/>
      <c r="T922" s="1775"/>
      <c r="U922" s="1775"/>
      <c r="V922" s="1775"/>
      <c r="W922" s="683"/>
      <c r="GT922" s="1828"/>
      <c r="GY922" s="1828"/>
      <c r="GZ922" s="1828"/>
      <c r="HA922" s="1828"/>
      <c r="HB922" s="1828"/>
      <c r="HC922" s="1828"/>
      <c r="HD922" s="1828"/>
      <c r="HE922" s="1828"/>
      <c r="HF922" s="1828"/>
      <c r="HG922" s="1828"/>
      <c r="HH922" s="1828"/>
      <c r="HI922" s="1828"/>
      <c r="HJ922" s="1828"/>
      <c r="HK922" s="1828"/>
      <c r="HL922" s="1828"/>
      <c r="HM922" s="1828"/>
      <c r="HN922" s="1828"/>
      <c r="HO922" s="1828"/>
      <c r="HP922" s="1828"/>
      <c r="HQ922" s="1828"/>
      <c r="HR922" s="1828"/>
      <c r="HS922" s="1828"/>
      <c r="HT922" s="1828"/>
      <c r="HU922" s="1828"/>
      <c r="HV922" s="1828"/>
      <c r="HW922" s="1828"/>
      <c r="HX922" s="1828"/>
      <c r="HY922" s="1828"/>
      <c r="HZ922" s="1828"/>
      <c r="IA922" s="1828"/>
      <c r="IB922" s="1828"/>
      <c r="IC922" s="1828"/>
      <c r="ID922" s="1828"/>
      <c r="IK922" s="1818"/>
      <c r="JA922" s="1818"/>
      <c r="JB922" s="1818"/>
    </row>
    <row r="923" spans="1:262" s="1629" customFormat="1" ht="15.6" customHeight="1">
      <c r="B923" s="1629" t="s">
        <v>1251</v>
      </c>
      <c r="F923" s="1878">
        <f>'Part VI-Revenues &amp; Expenses'!F166</f>
        <v>5000</v>
      </c>
      <c r="G923" s="1878">
        <f>'Part VI-Revenues &amp; Expenses'!G166</f>
        <v>0</v>
      </c>
      <c r="J923" s="1895" t="s">
        <v>193</v>
      </c>
      <c r="K923" s="1878">
        <f>SUM(K921:L922)</f>
        <v>17500</v>
      </c>
      <c r="L923" s="1878"/>
      <c r="N923" s="1896" t="str">
        <f>'Part VI-Revenues &amp; Expenses'!N166</f>
        <v>Other (describe here)</v>
      </c>
      <c r="O923" s="1896">
        <f>'Part VI-Revenues &amp; Expenses'!O166</f>
        <v>0</v>
      </c>
      <c r="P923" s="1889">
        <f>'Part VI-Revenues &amp; Expenses'!P166</f>
        <v>0</v>
      </c>
      <c r="Q923" s="1889"/>
      <c r="R923" s="1775"/>
      <c r="S923" s="1775"/>
      <c r="T923" s="1775"/>
      <c r="U923" s="1775"/>
      <c r="V923" s="1775"/>
      <c r="W923" s="683"/>
      <c r="GT923" s="1828"/>
      <c r="GY923" s="1828"/>
      <c r="GZ923" s="1828"/>
      <c r="HA923" s="1828"/>
      <c r="HB923" s="1828"/>
      <c r="HC923" s="1828"/>
      <c r="HD923" s="1828"/>
      <c r="HE923" s="1828"/>
      <c r="HF923" s="1828"/>
      <c r="HG923" s="1828"/>
      <c r="HH923" s="1828"/>
      <c r="HI923" s="1828"/>
      <c r="HJ923" s="1828"/>
      <c r="HK923" s="1828"/>
      <c r="HL923" s="1828"/>
      <c r="HM923" s="1828"/>
      <c r="HN923" s="1828"/>
      <c r="HO923" s="1828"/>
      <c r="HP923" s="1828"/>
      <c r="HQ923" s="1828"/>
      <c r="HR923" s="1828"/>
      <c r="HS923" s="1828"/>
      <c r="HT923" s="1828"/>
      <c r="HU923" s="1828"/>
      <c r="HV923" s="1828"/>
      <c r="HW923" s="1828"/>
      <c r="HX923" s="1828"/>
      <c r="HY923" s="1828"/>
      <c r="HZ923" s="1828"/>
      <c r="IA923" s="1828"/>
      <c r="IB923" s="1828"/>
      <c r="IC923" s="1828"/>
      <c r="ID923" s="1828"/>
      <c r="IK923" s="1818"/>
      <c r="JA923" s="1818"/>
      <c r="JB923" s="1818"/>
    </row>
    <row r="924" spans="1:262" s="1629" customFormat="1" ht="15.6" customHeight="1">
      <c r="B924" s="478" t="str">
        <f>'Part VI-Revenues &amp; Expenses'!B167</f>
        <v>Other (describe here)</v>
      </c>
      <c r="C924" s="478">
        <f>'Part VI-Revenues &amp; Expenses'!C167</f>
        <v>0</v>
      </c>
      <c r="D924" s="478">
        <f>'Part VI-Revenues &amp; Expenses'!D167</f>
        <v>0</v>
      </c>
      <c r="E924" s="478">
        <f>'Part VI-Revenues &amp; Expenses'!E167</f>
        <v>0</v>
      </c>
      <c r="F924" s="1878">
        <f>'Part VI-Revenues &amp; Expenses'!F167</f>
        <v>0</v>
      </c>
      <c r="G924" s="1878">
        <f>'Part VI-Revenues &amp; Expenses'!G167</f>
        <v>0</v>
      </c>
      <c r="N924" s="1895" t="s">
        <v>193</v>
      </c>
      <c r="P924" s="1889">
        <f>SUM(P921:P923)</f>
        <v>49633</v>
      </c>
      <c r="Q924" s="1889"/>
      <c r="R924" s="1775"/>
      <c r="S924" s="1775"/>
      <c r="T924" s="1775"/>
      <c r="U924" s="1775"/>
      <c r="V924" s="1775"/>
      <c r="W924" s="683"/>
      <c r="GT924" s="1828"/>
      <c r="GY924" s="1828"/>
      <c r="GZ924" s="1828"/>
      <c r="HA924" s="1828"/>
      <c r="HB924" s="1828"/>
      <c r="HC924" s="1828"/>
      <c r="HD924" s="1828"/>
      <c r="HE924" s="1828"/>
      <c r="HF924" s="1828"/>
      <c r="HG924" s="1828"/>
      <c r="HH924" s="1828"/>
      <c r="HI924" s="1828"/>
      <c r="HJ924" s="1828"/>
      <c r="HK924" s="1828"/>
      <c r="HL924" s="1828"/>
      <c r="HM924" s="1828"/>
      <c r="HN924" s="1828"/>
      <c r="HO924" s="1828"/>
      <c r="HP924" s="1828"/>
      <c r="HQ924" s="1828"/>
      <c r="HR924" s="1828"/>
      <c r="HS924" s="1828"/>
      <c r="HT924" s="1828"/>
      <c r="HU924" s="1828"/>
      <c r="HV924" s="1828"/>
      <c r="HW924" s="1828"/>
      <c r="HX924" s="1828"/>
      <c r="HY924" s="1828"/>
      <c r="HZ924" s="1828"/>
      <c r="IA924" s="1828"/>
      <c r="IB924" s="1828"/>
      <c r="IC924" s="1828"/>
      <c r="ID924" s="1828"/>
      <c r="IK924" s="1818"/>
      <c r="JA924" s="1818"/>
      <c r="JB924" s="1818"/>
    </row>
    <row r="925" spans="1:262" s="1629" customFormat="1" ht="15.6" customHeight="1">
      <c r="C925" s="1895" t="s">
        <v>193</v>
      </c>
      <c r="F925" s="1878">
        <f>SUM(F921:G924)</f>
        <v>70000</v>
      </c>
      <c r="G925" s="1878"/>
      <c r="J925" s="1865"/>
      <c r="R925" s="1775"/>
      <c r="S925" s="1775"/>
      <c r="T925" s="1775"/>
      <c r="U925" s="1775"/>
      <c r="V925" s="1775"/>
      <c r="W925" s="683"/>
      <c r="GT925" s="1828"/>
      <c r="GY925" s="1828"/>
      <c r="GZ925" s="1828"/>
      <c r="HA925" s="1828"/>
      <c r="HB925" s="1828"/>
      <c r="HC925" s="1828"/>
      <c r="HD925" s="1828"/>
      <c r="HE925" s="1828"/>
      <c r="HF925" s="1828"/>
      <c r="HG925" s="1828"/>
      <c r="HH925" s="1828"/>
      <c r="HI925" s="1828"/>
      <c r="HJ925" s="1828"/>
      <c r="HK925" s="1828"/>
      <c r="HL925" s="1828"/>
      <c r="HM925" s="1828"/>
      <c r="HN925" s="1828"/>
      <c r="HO925" s="1828"/>
      <c r="HP925" s="1828"/>
      <c r="HQ925" s="1828"/>
      <c r="HR925" s="1828"/>
      <c r="HS925" s="1828"/>
      <c r="HT925" s="1828"/>
      <c r="HU925" s="1828"/>
      <c r="HV925" s="1828"/>
      <c r="HW925" s="1828"/>
      <c r="HX925" s="1828"/>
      <c r="HY925" s="1828"/>
      <c r="HZ925" s="1828"/>
      <c r="IA925" s="1828"/>
      <c r="IB925" s="1828"/>
      <c r="IC925" s="1828"/>
      <c r="ID925" s="1828"/>
      <c r="IK925" s="1818"/>
      <c r="JA925" s="1818"/>
      <c r="JB925" s="1818"/>
    </row>
    <row r="926" spans="1:262" s="1629" customFormat="1" ht="6" customHeight="1">
      <c r="C926" s="1818"/>
      <c r="D926" s="1895"/>
      <c r="F926" s="1865"/>
      <c r="G926" s="1865"/>
      <c r="J926" s="1865"/>
      <c r="M926" s="1818"/>
      <c r="O926" s="1895"/>
      <c r="R926" s="1775"/>
      <c r="S926" s="1775"/>
      <c r="T926" s="1775"/>
      <c r="U926" s="1775"/>
      <c r="V926" s="1775"/>
      <c r="GT926" s="1828"/>
      <c r="GY926" s="1828"/>
      <c r="GZ926" s="1828"/>
      <c r="HA926" s="1828"/>
      <c r="HB926" s="1828"/>
      <c r="HC926" s="1828"/>
      <c r="HD926" s="1828"/>
      <c r="HE926" s="1828"/>
      <c r="HF926" s="1828"/>
      <c r="HG926" s="1828"/>
      <c r="HH926" s="1828"/>
      <c r="HI926" s="1828"/>
      <c r="HJ926" s="1828"/>
      <c r="HK926" s="1828"/>
      <c r="HL926" s="1828"/>
      <c r="HM926" s="1828"/>
      <c r="HN926" s="1828"/>
      <c r="HO926" s="1828"/>
      <c r="HP926" s="1828"/>
      <c r="HQ926" s="1828"/>
      <c r="HR926" s="1828"/>
      <c r="HS926" s="1828"/>
      <c r="HT926" s="1828"/>
      <c r="HU926" s="1828"/>
      <c r="HV926" s="1828"/>
      <c r="HW926" s="1828"/>
      <c r="HX926" s="1828"/>
      <c r="HY926" s="1828"/>
      <c r="HZ926" s="1828"/>
      <c r="IA926" s="1828"/>
      <c r="IB926" s="1828"/>
      <c r="IC926" s="1828"/>
      <c r="ID926" s="1828"/>
      <c r="IK926" s="1818"/>
      <c r="JA926" s="1818"/>
      <c r="JB926" s="1818"/>
    </row>
    <row r="927" spans="1:262" s="1629" customFormat="1" ht="13.15" customHeight="1">
      <c r="B927" s="1818" t="s">
        <v>1303</v>
      </c>
      <c r="D927" s="1897"/>
      <c r="I927" s="1818" t="s">
        <v>1304</v>
      </c>
      <c r="N927" s="1818" t="s">
        <v>1392</v>
      </c>
      <c r="P927" s="1898">
        <f>IF(OR('Part VII-Pro Forma'!$B$20 = "Choose Mgt Fee",'Part VII-Pro Forma'!$B$20 = "Choose One!"), 0,- 'Part VII-Pro Forma'!$B$20)</f>
        <v>30420</v>
      </c>
      <c r="Q927" s="1898"/>
      <c r="R927" s="1775"/>
      <c r="S927" s="1775"/>
      <c r="T927" s="1775"/>
      <c r="U927" s="1775"/>
      <c r="V927" s="1775"/>
      <c r="W927" s="683"/>
      <c r="GT927" s="1828"/>
      <c r="GY927" s="1828"/>
      <c r="GZ927" s="1828"/>
      <c r="HA927" s="1828"/>
      <c r="HB927" s="1828"/>
      <c r="HC927" s="1828"/>
      <c r="HD927" s="1828"/>
      <c r="HE927" s="1828"/>
      <c r="HF927" s="1828"/>
      <c r="HG927" s="1828"/>
      <c r="HH927" s="1828"/>
      <c r="HI927" s="1828"/>
      <c r="HJ927" s="1828"/>
      <c r="HK927" s="1828"/>
      <c r="HL927" s="1828"/>
      <c r="HM927" s="1828"/>
      <c r="HN927" s="1828"/>
      <c r="HO927" s="1828"/>
      <c r="HP927" s="1828"/>
      <c r="HQ927" s="1828"/>
      <c r="HR927" s="1828"/>
      <c r="HS927" s="1828"/>
      <c r="HT927" s="1828"/>
      <c r="HU927" s="1828"/>
      <c r="HV927" s="1828"/>
      <c r="HW927" s="1828"/>
      <c r="HX927" s="1828"/>
      <c r="HY927" s="1828"/>
      <c r="HZ927" s="1828"/>
      <c r="IA927" s="1828"/>
      <c r="IB927" s="1828"/>
      <c r="IC927" s="1828"/>
      <c r="ID927" s="1828"/>
      <c r="IK927" s="1818"/>
      <c r="JA927" s="1818"/>
      <c r="JB927" s="1818"/>
    </row>
    <row r="928" spans="1:262" s="1629" customFormat="1" ht="15.6" customHeight="1">
      <c r="B928" s="1629" t="s">
        <v>1384</v>
      </c>
      <c r="D928" s="1897"/>
      <c r="F928" s="1878">
        <f>'Part VI-Revenues &amp; Expenses'!F171</f>
        <v>2500</v>
      </c>
      <c r="G928" s="1878">
        <f>'Part VI-Revenues &amp; Expenses'!G171</f>
        <v>0</v>
      </c>
      <c r="I928" s="1629" t="s">
        <v>1614</v>
      </c>
      <c r="K928" s="1889">
        <f>'Part VI-Revenues &amp; Expenses'!K171</f>
        <v>3000</v>
      </c>
      <c r="L928" s="1889">
        <f>'Part VI-Revenues &amp; Expenses'!L171</f>
        <v>0</v>
      </c>
      <c r="N928" s="1899">
        <f>+P927/(O819*0.93)</f>
        <v>503.22580645161287</v>
      </c>
      <c r="O928" s="1900" t="s">
        <v>2774</v>
      </c>
      <c r="R928" s="1775"/>
      <c r="S928" s="1775"/>
      <c r="T928" s="1775"/>
      <c r="U928" s="1775"/>
      <c r="V928" s="1775"/>
      <c r="W928" s="683"/>
      <c r="GT928" s="1828"/>
      <c r="GY928" s="1828"/>
      <c r="GZ928" s="1828"/>
      <c r="HA928" s="1828"/>
      <c r="HB928" s="1828"/>
      <c r="HC928" s="1828"/>
      <c r="HD928" s="1828"/>
      <c r="HE928" s="1828"/>
      <c r="HF928" s="1828"/>
      <c r="HG928" s="1828"/>
      <c r="HH928" s="1828"/>
      <c r="HI928" s="1828"/>
      <c r="HJ928" s="1828"/>
      <c r="HK928" s="1828"/>
      <c r="HL928" s="1828"/>
      <c r="HM928" s="1828"/>
      <c r="HN928" s="1828"/>
      <c r="HO928" s="1828"/>
      <c r="HP928" s="1828"/>
      <c r="HQ928" s="1828"/>
      <c r="HR928" s="1828"/>
      <c r="HS928" s="1828"/>
      <c r="HT928" s="1828"/>
      <c r="HU928" s="1828"/>
      <c r="HV928" s="1828"/>
      <c r="HW928" s="1828"/>
      <c r="HX928" s="1828"/>
      <c r="HY928" s="1828"/>
      <c r="HZ928" s="1828"/>
      <c r="IA928" s="1828"/>
      <c r="IB928" s="1828"/>
      <c r="IC928" s="1828"/>
      <c r="ID928" s="1828"/>
      <c r="IK928" s="1818"/>
      <c r="JA928" s="1818"/>
      <c r="JB928" s="1818"/>
    </row>
    <row r="929" spans="2:262" s="1629" customFormat="1" ht="15.6" customHeight="1">
      <c r="B929" s="1629" t="s">
        <v>1385</v>
      </c>
      <c r="D929" s="1897"/>
      <c r="F929" s="1878">
        <f>'Part VI-Revenues &amp; Expenses'!F172</f>
        <v>12500</v>
      </c>
      <c r="G929" s="1878">
        <f>'Part VI-Revenues &amp; Expenses'!G172</f>
        <v>0</v>
      </c>
      <c r="I929" s="1629" t="s">
        <v>2065</v>
      </c>
      <c r="K929" s="1889">
        <f>'Part VI-Revenues &amp; Expenses'!K172</f>
        <v>10000</v>
      </c>
      <c r="L929" s="1889">
        <f>'Part VI-Revenues &amp; Expenses'!L172</f>
        <v>0</v>
      </c>
      <c r="N929" s="1899">
        <f>+P927/(O819*0.93)/12</f>
        <v>41.935483870967737</v>
      </c>
      <c r="O929" s="1900" t="s">
        <v>2775</v>
      </c>
      <c r="R929" s="1775"/>
      <c r="S929" s="1775"/>
      <c r="T929" s="1775"/>
      <c r="U929" s="1775"/>
      <c r="V929" s="1775"/>
      <c r="W929" s="683"/>
      <c r="GT929" s="1828"/>
      <c r="GY929" s="1828"/>
      <c r="GZ929" s="1828"/>
      <c r="HA929" s="1828"/>
      <c r="HB929" s="1828"/>
      <c r="HC929" s="1828"/>
      <c r="HD929" s="1828"/>
      <c r="HE929" s="1828"/>
      <c r="HF929" s="1828"/>
      <c r="HG929" s="1828"/>
      <c r="HH929" s="1828"/>
      <c r="HI929" s="1828"/>
      <c r="HJ929" s="1828"/>
      <c r="HK929" s="1828"/>
      <c r="HL929" s="1828"/>
      <c r="HM929" s="1828"/>
      <c r="HN929" s="1828"/>
      <c r="HO929" s="1828"/>
      <c r="HP929" s="1828"/>
      <c r="HQ929" s="1828"/>
      <c r="HR929" s="1828"/>
      <c r="HS929" s="1828"/>
      <c r="HT929" s="1828"/>
      <c r="HU929" s="1828"/>
      <c r="HV929" s="1828"/>
      <c r="HW929" s="1828"/>
      <c r="HX929" s="1828"/>
      <c r="HY929" s="1828"/>
      <c r="HZ929" s="1828"/>
      <c r="IA929" s="1828"/>
      <c r="IB929" s="1828"/>
      <c r="IC929" s="1828"/>
      <c r="ID929" s="1828"/>
      <c r="IK929" s="1818"/>
      <c r="JA929" s="1818"/>
      <c r="JB929" s="1818"/>
    </row>
    <row r="930" spans="2:262" s="1629" customFormat="1" ht="15.6" customHeight="1">
      <c r="B930" s="1629" t="s">
        <v>1386</v>
      </c>
      <c r="D930" s="1897"/>
      <c r="F930" s="1878">
        <f>'Part VI-Revenues &amp; Expenses'!F173</f>
        <v>0</v>
      </c>
      <c r="G930" s="1878">
        <f>'Part VI-Revenues &amp; Expenses'!G173</f>
        <v>0</v>
      </c>
      <c r="I930" s="1629" t="s">
        <v>1615</v>
      </c>
      <c r="K930" s="1889">
        <f>'Part VI-Revenues &amp; Expenses'!K173</f>
        <v>5000</v>
      </c>
      <c r="L930" s="1889">
        <f>'Part VI-Revenues &amp; Expenses'!L173</f>
        <v>0</v>
      </c>
      <c r="N930" s="478" t="s">
        <v>3756</v>
      </c>
      <c r="O930" s="1901"/>
      <c r="P930" s="1901"/>
      <c r="Q930" s="1866"/>
      <c r="R930" s="1775"/>
      <c r="S930" s="1775"/>
      <c r="T930" s="1775"/>
      <c r="U930" s="1775"/>
      <c r="V930" s="1775"/>
      <c r="W930" s="683"/>
      <c r="GT930" s="1828"/>
      <c r="GY930" s="1828"/>
      <c r="GZ930" s="1828"/>
      <c r="HA930" s="1828"/>
      <c r="HB930" s="1828"/>
      <c r="HC930" s="1828"/>
      <c r="HD930" s="1828"/>
      <c r="HE930" s="1828"/>
      <c r="HF930" s="1828"/>
      <c r="HG930" s="1828"/>
      <c r="HH930" s="1828"/>
      <c r="HI930" s="1828"/>
      <c r="HJ930" s="1828"/>
      <c r="HK930" s="1828"/>
      <c r="HL930" s="1828"/>
      <c r="HM930" s="1828"/>
      <c r="HN930" s="1828"/>
      <c r="HO930" s="1828"/>
      <c r="HP930" s="1828"/>
      <c r="HQ930" s="1828"/>
      <c r="HR930" s="1828"/>
      <c r="HS930" s="1828"/>
      <c r="HT930" s="1828"/>
      <c r="HU930" s="1828"/>
      <c r="HV930" s="1828"/>
      <c r="HW930" s="1828"/>
      <c r="HX930" s="1828"/>
      <c r="HY930" s="1828"/>
      <c r="HZ930" s="1828"/>
      <c r="IA930" s="1828"/>
      <c r="IB930" s="1828"/>
      <c r="IC930" s="1828"/>
      <c r="ID930" s="1828"/>
      <c r="IK930" s="1818"/>
      <c r="JA930" s="1818"/>
      <c r="JB930" s="1818"/>
    </row>
    <row r="931" spans="2:262" s="1629" customFormat="1" ht="15.6" customHeight="1">
      <c r="B931" s="1629" t="s">
        <v>2357</v>
      </c>
      <c r="D931" s="1897"/>
      <c r="F931" s="1878">
        <f>'Part VI-Revenues &amp; Expenses'!F174</f>
        <v>0</v>
      </c>
      <c r="G931" s="1878">
        <f>'Part VI-Revenues &amp; Expenses'!G174</f>
        <v>0</v>
      </c>
      <c r="I931" s="1896" t="str">
        <f>'Part VI-Revenues &amp; Expenses'!I174</f>
        <v>Training</v>
      </c>
      <c r="J931" s="1896">
        <f>'Part VI-Revenues &amp; Expenses'!J174</f>
        <v>0</v>
      </c>
      <c r="K931" s="1889">
        <f>'Part VI-Revenues &amp; Expenses'!K174</f>
        <v>750</v>
      </c>
      <c r="L931" s="1889">
        <f>'Part VI-Revenues &amp; Expenses'!L174</f>
        <v>0</v>
      </c>
      <c r="N931" s="1901"/>
      <c r="O931" s="1901"/>
      <c r="P931" s="1901"/>
      <c r="Q931" s="1866"/>
      <c r="R931" s="1775"/>
      <c r="S931" s="1775"/>
      <c r="T931" s="1775"/>
      <c r="U931" s="1775"/>
      <c r="V931" s="1775"/>
      <c r="W931" s="683"/>
      <c r="GT931" s="1828"/>
      <c r="GY931" s="1828"/>
      <c r="GZ931" s="1828"/>
      <c r="HA931" s="1828"/>
      <c r="HB931" s="1828"/>
      <c r="HC931" s="1828"/>
      <c r="HD931" s="1828"/>
      <c r="HE931" s="1828"/>
      <c r="HF931" s="1828"/>
      <c r="HG931" s="1828"/>
      <c r="HH931" s="1828"/>
      <c r="HI931" s="1828"/>
      <c r="HJ931" s="1828"/>
      <c r="HK931" s="1828"/>
      <c r="HL931" s="1828"/>
      <c r="HM931" s="1828"/>
      <c r="HN931" s="1828"/>
      <c r="HO931" s="1828"/>
      <c r="HP931" s="1828"/>
      <c r="HQ931" s="1828"/>
      <c r="HR931" s="1828"/>
      <c r="HS931" s="1828"/>
      <c r="HT931" s="1828"/>
      <c r="HU931" s="1828"/>
      <c r="HV931" s="1828"/>
      <c r="HW931" s="1828"/>
      <c r="HX931" s="1828"/>
      <c r="HY931" s="1828"/>
      <c r="HZ931" s="1828"/>
      <c r="IA931" s="1828"/>
      <c r="IB931" s="1828"/>
      <c r="IC931" s="1828"/>
      <c r="ID931" s="1828"/>
      <c r="IK931" s="1818"/>
      <c r="JA931" s="1818"/>
      <c r="JB931" s="1818"/>
    </row>
    <row r="932" spans="2:262" s="1629" customFormat="1" ht="15.6" customHeight="1">
      <c r="B932" s="1629" t="s">
        <v>1612</v>
      </c>
      <c r="D932" s="1897"/>
      <c r="F932" s="1878">
        <f>'Part VI-Revenues &amp; Expenses'!F175</f>
        <v>10000</v>
      </c>
      <c r="G932" s="1878">
        <f>'Part VI-Revenues &amp; Expenses'!G175</f>
        <v>0</v>
      </c>
      <c r="I932" s="1818"/>
      <c r="J932" s="1895" t="s">
        <v>193</v>
      </c>
      <c r="K932" s="1889">
        <f>SUM(K928:K931)</f>
        <v>18750</v>
      </c>
      <c r="L932" s="1889"/>
      <c r="M932" s="1902" t="str">
        <f>IF(P934="","",IF(P932&lt;P934, "WARNING! OE below required minimum.",""))</f>
        <v/>
      </c>
      <c r="N932" s="1818" t="s">
        <v>2202</v>
      </c>
      <c r="P932" s="1889">
        <f>F925+F934+F945+K923+K932+K942+P924+P927</f>
        <v>298803</v>
      </c>
      <c r="R932" s="1775"/>
      <c r="S932" s="1775"/>
      <c r="T932" s="1775"/>
      <c r="U932" s="1775"/>
      <c r="V932" s="1775"/>
      <c r="W932" s="683"/>
      <c r="GT932" s="1828"/>
      <c r="GY932" s="1828"/>
      <c r="GZ932" s="1828"/>
      <c r="HA932" s="1828"/>
      <c r="HB932" s="1828"/>
      <c r="HC932" s="1828"/>
      <c r="HD932" s="1828"/>
      <c r="HE932" s="1828"/>
      <c r="HF932" s="1828"/>
      <c r="HG932" s="1828"/>
      <c r="HH932" s="1828"/>
      <c r="HI932" s="1828"/>
      <c r="HJ932" s="1828"/>
      <c r="HK932" s="1828"/>
      <c r="HL932" s="1828"/>
      <c r="HM932" s="1828"/>
      <c r="HN932" s="1828"/>
      <c r="HO932" s="1828"/>
      <c r="HP932" s="1828"/>
      <c r="HQ932" s="1828"/>
      <c r="HR932" s="1828"/>
      <c r="HS932" s="1828"/>
      <c r="HT932" s="1828"/>
      <c r="HU932" s="1828"/>
      <c r="HV932" s="1828"/>
      <c r="HW932" s="1828"/>
      <c r="HX932" s="1828"/>
      <c r="HY932" s="1828"/>
      <c r="HZ932" s="1828"/>
      <c r="IA932" s="1828"/>
      <c r="IB932" s="1828"/>
      <c r="IC932" s="1828"/>
      <c r="ID932" s="1828"/>
      <c r="IK932" s="1818"/>
      <c r="JA932" s="1818"/>
      <c r="JB932" s="1818"/>
    </row>
    <row r="933" spans="2:262" s="1629" customFormat="1" ht="15.6" customHeight="1">
      <c r="B933" s="478" t="str">
        <f>'Part VI-Revenues &amp; Expenses'!B176</f>
        <v>Other (describe here)</v>
      </c>
      <c r="C933" s="478">
        <f>'Part VI-Revenues &amp; Expenses'!C176</f>
        <v>0</v>
      </c>
      <c r="D933" s="478">
        <f>'Part VI-Revenues &amp; Expenses'!D176</f>
        <v>0</v>
      </c>
      <c r="E933" s="478">
        <f>'Part VI-Revenues &amp; Expenses'!E176</f>
        <v>0</v>
      </c>
      <c r="F933" s="1878">
        <f>'Part VI-Revenues &amp; Expenses'!F176</f>
        <v>0</v>
      </c>
      <c r="G933" s="1878">
        <f>'Part VI-Revenues &amp; Expenses'!G176</f>
        <v>0</v>
      </c>
      <c r="J933" s="1865"/>
      <c r="M933" s="1902"/>
      <c r="N933" s="1900" t="s">
        <v>2776</v>
      </c>
      <c r="O933" s="1899">
        <f>+P932/O819</f>
        <v>4596.9692307692312</v>
      </c>
      <c r="Q933" s="1889"/>
      <c r="R933" s="1775"/>
      <c r="S933" s="1775"/>
      <c r="T933" s="1775"/>
      <c r="U933" s="1775"/>
      <c r="V933" s="1775"/>
      <c r="W933" s="683"/>
      <c r="GT933" s="1828"/>
      <c r="GY933" s="1828"/>
      <c r="GZ933" s="1828"/>
      <c r="HA933" s="1828"/>
      <c r="HB933" s="1828"/>
      <c r="HC933" s="1828"/>
      <c r="HD933" s="1828"/>
      <c r="HE933" s="1828"/>
      <c r="HF933" s="1828"/>
      <c r="HG933" s="1828"/>
      <c r="HH933" s="1828"/>
      <c r="HI933" s="1828"/>
      <c r="HJ933" s="1828"/>
      <c r="HK933" s="1828"/>
      <c r="HL933" s="1828"/>
      <c r="HM933" s="1828"/>
      <c r="HN933" s="1828"/>
      <c r="HO933" s="1828"/>
      <c r="HP933" s="1828"/>
      <c r="HQ933" s="1828"/>
      <c r="HR933" s="1828"/>
      <c r="HS933" s="1828"/>
      <c r="HT933" s="1828"/>
      <c r="HU933" s="1828"/>
      <c r="HV933" s="1828"/>
      <c r="HW933" s="1828"/>
      <c r="HX933" s="1828"/>
      <c r="HY933" s="1828"/>
      <c r="HZ933" s="1828"/>
      <c r="IA933" s="1828"/>
      <c r="IB933" s="1828"/>
      <c r="IC933" s="1828"/>
      <c r="ID933" s="1828"/>
      <c r="IK933" s="1818"/>
      <c r="JA933" s="1818"/>
      <c r="JB933" s="1818"/>
    </row>
    <row r="934" spans="2:262" s="1629" customFormat="1" ht="15.6" customHeight="1">
      <c r="C934" s="1895" t="s">
        <v>193</v>
      </c>
      <c r="F934" s="1878">
        <f>SUM(F928:G933)</f>
        <v>25000</v>
      </c>
      <c r="G934" s="1878"/>
      <c r="J934" s="1865"/>
      <c r="M934" s="1902"/>
      <c r="O934" s="1900" t="s">
        <v>3757</v>
      </c>
      <c r="P934" s="1889">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1775"/>
      <c r="S934" s="1775"/>
      <c r="T934" s="1775"/>
      <c r="U934" s="1775"/>
      <c r="V934" s="1775"/>
      <c r="W934" s="683"/>
      <c r="GT934" s="1828"/>
      <c r="GY934" s="1828"/>
      <c r="GZ934" s="1828"/>
      <c r="HA934" s="1828"/>
      <c r="HB934" s="1828"/>
      <c r="HC934" s="1828"/>
      <c r="HD934" s="1828"/>
      <c r="HE934" s="1828"/>
      <c r="HF934" s="1828"/>
      <c r="HG934" s="1828"/>
      <c r="HH934" s="1828"/>
      <c r="HI934" s="1828"/>
      <c r="HJ934" s="1828"/>
      <c r="HK934" s="1828"/>
      <c r="HL934" s="1828"/>
      <c r="HM934" s="1828"/>
      <c r="HN934" s="1828"/>
      <c r="HO934" s="1828"/>
      <c r="HP934" s="1828"/>
      <c r="HQ934" s="1828"/>
      <c r="HR934" s="1828"/>
      <c r="HS934" s="1828"/>
      <c r="HT934" s="1828"/>
      <c r="HU934" s="1828"/>
      <c r="HV934" s="1828"/>
      <c r="HW934" s="1828"/>
      <c r="HX934" s="1828"/>
      <c r="HY934" s="1828"/>
      <c r="HZ934" s="1828"/>
      <c r="IA934" s="1828"/>
      <c r="IB934" s="1828"/>
      <c r="IC934" s="1828"/>
      <c r="ID934" s="1828"/>
      <c r="IK934" s="1818"/>
      <c r="JA934" s="1818"/>
      <c r="JB934" s="1818"/>
    </row>
    <row r="935" spans="2:262" s="1629" customFormat="1" ht="6" customHeight="1">
      <c r="D935" s="1895"/>
      <c r="F935" s="1865"/>
      <c r="G935" s="1865"/>
      <c r="J935" s="1865"/>
      <c r="M935" s="1902"/>
      <c r="R935" s="1775"/>
      <c r="S935" s="1775"/>
      <c r="T935" s="1775"/>
      <c r="U935" s="1775"/>
      <c r="V935" s="1775"/>
      <c r="GT935" s="1828"/>
      <c r="GY935" s="1828"/>
      <c r="GZ935" s="1828"/>
      <c r="HA935" s="1828"/>
      <c r="HB935" s="1828"/>
      <c r="HC935" s="1828"/>
      <c r="HD935" s="1828"/>
      <c r="HE935" s="1828"/>
      <c r="HF935" s="1828"/>
      <c r="HG935" s="1828"/>
      <c r="HH935" s="1828"/>
      <c r="HI935" s="1828"/>
      <c r="HJ935" s="1828"/>
      <c r="HK935" s="1828"/>
      <c r="HL935" s="1828"/>
      <c r="HM935" s="1828"/>
      <c r="HN935" s="1828"/>
      <c r="HO935" s="1828"/>
      <c r="HP935" s="1828"/>
      <c r="HQ935" s="1828"/>
      <c r="HR935" s="1828"/>
      <c r="HS935" s="1828"/>
      <c r="HT935" s="1828"/>
      <c r="HU935" s="1828"/>
      <c r="HV935" s="1828"/>
      <c r="HW935" s="1828"/>
      <c r="HX935" s="1828"/>
      <c r="HY935" s="1828"/>
      <c r="HZ935" s="1828"/>
      <c r="IA935" s="1828"/>
      <c r="IB935" s="1828"/>
      <c r="IC935" s="1828"/>
      <c r="ID935" s="1828"/>
      <c r="IK935" s="1818"/>
      <c r="JA935" s="1818"/>
      <c r="JB935" s="1818"/>
    </row>
    <row r="936" spans="2:262" s="1629" customFormat="1" ht="15.75" customHeight="1">
      <c r="B936" s="1818" t="s">
        <v>1305</v>
      </c>
      <c r="D936" s="1897"/>
      <c r="I936" s="1818" t="s">
        <v>1387</v>
      </c>
      <c r="J936" s="1630" t="s">
        <v>2773</v>
      </c>
      <c r="N936" s="1818" t="s">
        <v>3504</v>
      </c>
      <c r="O936" s="1818"/>
      <c r="P936" s="1903">
        <f>'Part VI-Revenues &amp; Expenses'!P179</f>
        <v>23390</v>
      </c>
      <c r="Q936" s="1898"/>
      <c r="R936" s="1775"/>
      <c r="S936" s="1775"/>
      <c r="T936" s="1775"/>
      <c r="U936" s="1775"/>
      <c r="V936" s="1775"/>
      <c r="W936" s="683"/>
      <c r="GT936" s="1828"/>
      <c r="GY936" s="1828"/>
      <c r="GZ936" s="1828"/>
      <c r="HA936" s="1828"/>
      <c r="HB936" s="1828"/>
      <c r="HC936" s="1828"/>
      <c r="HD936" s="1828"/>
      <c r="HE936" s="1828"/>
      <c r="HF936" s="1828"/>
      <c r="HG936" s="1828"/>
      <c r="HH936" s="1828"/>
      <c r="HI936" s="1828"/>
      <c r="HJ936" s="1828"/>
      <c r="HK936" s="1828"/>
      <c r="HL936" s="1828"/>
      <c r="HM936" s="1828"/>
      <c r="HN936" s="1828"/>
      <c r="HO936" s="1828"/>
      <c r="HP936" s="1828"/>
      <c r="HQ936" s="1828"/>
      <c r="HR936" s="1828"/>
      <c r="HS936" s="1828"/>
      <c r="HT936" s="1828"/>
      <c r="HU936" s="1828"/>
      <c r="HV936" s="1828"/>
      <c r="HW936" s="1828"/>
      <c r="HX936" s="1828"/>
      <c r="HY936" s="1828"/>
      <c r="HZ936" s="1828"/>
      <c r="IA936" s="1828"/>
      <c r="IB936" s="1828"/>
      <c r="IC936" s="1828"/>
      <c r="ID936" s="1828"/>
      <c r="IK936" s="1818"/>
      <c r="JA936" s="1818"/>
      <c r="JB936" s="1818"/>
    </row>
    <row r="937" spans="2:262" s="1629" customFormat="1" ht="15.6" customHeight="1">
      <c r="B937" s="1629" t="s">
        <v>1616</v>
      </c>
      <c r="D937" s="1897"/>
      <c r="F937" s="1878">
        <f>'Part VI-Revenues &amp; Expenses'!F180</f>
        <v>5000</v>
      </c>
      <c r="G937" s="1878">
        <f>'Part VI-Revenues &amp; Expenses'!G180</f>
        <v>0</v>
      </c>
      <c r="I937" s="1629" t="s">
        <v>1380</v>
      </c>
      <c r="J937" s="1691">
        <f>K937/12/O819</f>
        <v>21.153846153846153</v>
      </c>
      <c r="K937" s="1889">
        <f>'Part VI-Revenues &amp; Expenses'!K180</f>
        <v>16500</v>
      </c>
      <c r="L937" s="1889">
        <f>'Part VI-Revenues &amp; Expenses'!L180</f>
        <v>0</v>
      </c>
      <c r="M937" s="1902" t="str">
        <f>IF(P936&lt;P945, "WARNING! RR proposed is below the DCA required minimum.","")</f>
        <v/>
      </c>
      <c r="N937" s="478" t="s">
        <v>3765</v>
      </c>
      <c r="P937" s="1904">
        <f>P936/O945</f>
        <v>359.84615384615387</v>
      </c>
      <c r="Q937" s="1903"/>
      <c r="R937" s="1775"/>
      <c r="S937" s="1775"/>
      <c r="T937" s="1775"/>
      <c r="U937" s="1775"/>
      <c r="V937" s="1775"/>
      <c r="W937" s="683"/>
      <c r="GT937" s="1828"/>
      <c r="GY937" s="1828"/>
      <c r="GZ937" s="1828"/>
      <c r="HA937" s="1828"/>
      <c r="HB937" s="1828"/>
      <c r="HC937" s="1828"/>
      <c r="HD937" s="1828"/>
      <c r="HE937" s="1828"/>
      <c r="HF937" s="1828"/>
      <c r="HG937" s="1828"/>
      <c r="HH937" s="1828"/>
      <c r="HI937" s="1828"/>
      <c r="HJ937" s="1828"/>
      <c r="HK937" s="1828"/>
      <c r="HL937" s="1828"/>
      <c r="HM937" s="1828"/>
      <c r="HN937" s="1828"/>
      <c r="HO937" s="1828"/>
      <c r="HP937" s="1828"/>
      <c r="HQ937" s="1828"/>
      <c r="HR937" s="1828"/>
      <c r="HS937" s="1828"/>
      <c r="HT937" s="1828"/>
      <c r="HU937" s="1828"/>
      <c r="HV937" s="1828"/>
      <c r="HW937" s="1828"/>
      <c r="HX937" s="1828"/>
      <c r="HY937" s="1828"/>
      <c r="HZ937" s="1828"/>
      <c r="IA937" s="1828"/>
      <c r="IB937" s="1828"/>
      <c r="IC937" s="1828"/>
      <c r="ID937" s="1828"/>
      <c r="IK937" s="1818"/>
      <c r="JA937" s="1818"/>
      <c r="JB937" s="1818"/>
    </row>
    <row r="938" spans="2:262" s="1629" customFormat="1" ht="15.6" customHeight="1">
      <c r="B938" s="1629" t="s">
        <v>1617</v>
      </c>
      <c r="D938" s="1897"/>
      <c r="F938" s="1878">
        <f>'Part VI-Revenues &amp; Expenses'!F181</f>
        <v>15000</v>
      </c>
      <c r="G938" s="1878">
        <f>'Part VI-Revenues &amp; Expenses'!G181</f>
        <v>0</v>
      </c>
      <c r="I938" s="1629" t="s">
        <v>1381</v>
      </c>
      <c r="J938" s="1691">
        <f>K938/12/O819</f>
        <v>0</v>
      </c>
      <c r="K938" s="1889">
        <f>'Part VI-Revenues &amp; Expenses'!K181</f>
        <v>0</v>
      </c>
      <c r="L938" s="1889">
        <f>'Part VI-Revenues &amp; Expenses'!L181</f>
        <v>0</v>
      </c>
      <c r="M938" s="1902"/>
      <c r="N938" s="1905" t="s">
        <v>3764</v>
      </c>
      <c r="O938" s="1905"/>
      <c r="P938" s="1905"/>
      <c r="R938" s="1775"/>
      <c r="S938" s="1775"/>
      <c r="T938" s="1775"/>
      <c r="U938" s="1775"/>
      <c r="V938" s="1775"/>
      <c r="W938" s="683"/>
      <c r="GT938" s="1828"/>
      <c r="GY938" s="1828"/>
      <c r="GZ938" s="1828"/>
      <c r="HA938" s="1828"/>
      <c r="HB938" s="1828"/>
      <c r="HC938" s="1828"/>
      <c r="HD938" s="1828"/>
      <c r="HE938" s="1828"/>
      <c r="HF938" s="1828"/>
      <c r="HG938" s="1828"/>
      <c r="HH938" s="1828"/>
      <c r="HI938" s="1828"/>
      <c r="HJ938" s="1828"/>
      <c r="HK938" s="1828"/>
      <c r="HL938" s="1828"/>
      <c r="HM938" s="1828"/>
      <c r="HN938" s="1828"/>
      <c r="HO938" s="1828"/>
      <c r="HP938" s="1828"/>
      <c r="HQ938" s="1828"/>
      <c r="HR938" s="1828"/>
      <c r="HS938" s="1828"/>
      <c r="HT938" s="1828"/>
      <c r="HU938" s="1828"/>
      <c r="HV938" s="1828"/>
      <c r="HW938" s="1828"/>
      <c r="HX938" s="1828"/>
      <c r="HY938" s="1828"/>
      <c r="HZ938" s="1828"/>
      <c r="IA938" s="1828"/>
      <c r="IB938" s="1828"/>
      <c r="IC938" s="1828"/>
      <c r="ID938" s="1828"/>
      <c r="IK938" s="1818"/>
      <c r="JA938" s="1818"/>
      <c r="JB938" s="1818"/>
    </row>
    <row r="939" spans="2:262" s="1629" customFormat="1" ht="15.6" customHeight="1">
      <c r="B939" s="1629" t="s">
        <v>1618</v>
      </c>
      <c r="D939" s="1897"/>
      <c r="F939" s="1878">
        <f>'Part VI-Revenues &amp; Expenses'!F182</f>
        <v>15000</v>
      </c>
      <c r="G939" s="1878">
        <f>'Part VI-Revenues &amp; Expenses'!G182</f>
        <v>0</v>
      </c>
      <c r="I939" s="1629" t="s">
        <v>2368</v>
      </c>
      <c r="J939" s="1691">
        <f>K939/12/O819</f>
        <v>12.820512820512821</v>
      </c>
      <c r="K939" s="1889">
        <f>'Part VI-Revenues &amp; Expenses'!K182</f>
        <v>10000</v>
      </c>
      <c r="L939" s="1889">
        <f>'Part VI-Revenues &amp; Expenses'!L182</f>
        <v>0</v>
      </c>
      <c r="M939" s="1902"/>
      <c r="N939" s="1906" t="s">
        <v>2732</v>
      </c>
      <c r="O939" s="1907" t="s">
        <v>3878</v>
      </c>
      <c r="P939" s="1907" t="s">
        <v>3459</v>
      </c>
      <c r="Q939" s="1907"/>
      <c r="R939" s="1775"/>
      <c r="S939" s="1775"/>
      <c r="T939" s="1775"/>
      <c r="U939" s="1775"/>
      <c r="V939" s="1775"/>
      <c r="W939" s="683"/>
      <c r="GT939" s="1828"/>
      <c r="GY939" s="1828"/>
      <c r="GZ939" s="1828"/>
      <c r="HA939" s="1828"/>
      <c r="HB939" s="1828"/>
      <c r="HC939" s="1828"/>
      <c r="HD939" s="1828"/>
      <c r="HE939" s="1828"/>
      <c r="HF939" s="1828"/>
      <c r="HG939" s="1828"/>
      <c r="HH939" s="1828"/>
      <c r="HI939" s="1828"/>
      <c r="HJ939" s="1828"/>
      <c r="HK939" s="1828"/>
      <c r="HL939" s="1828"/>
      <c r="HM939" s="1828"/>
      <c r="HN939" s="1828"/>
      <c r="HO939" s="1828"/>
      <c r="HP939" s="1828"/>
      <c r="HQ939" s="1828"/>
      <c r="HR939" s="1828"/>
      <c r="HS939" s="1828"/>
      <c r="HT939" s="1828"/>
      <c r="HU939" s="1828"/>
      <c r="HV939" s="1828"/>
      <c r="HW939" s="1828"/>
      <c r="HX939" s="1828"/>
      <c r="HY939" s="1828"/>
      <c r="HZ939" s="1828"/>
      <c r="IA939" s="1828"/>
      <c r="IB939" s="1828"/>
      <c r="IC939" s="1828"/>
      <c r="ID939" s="1828"/>
      <c r="IK939" s="1818"/>
      <c r="JA939" s="1818"/>
      <c r="JB939" s="1818"/>
    </row>
    <row r="940" spans="2:262" s="1629" customFormat="1" ht="15.6" customHeight="1">
      <c r="B940" s="1629" t="s">
        <v>1012</v>
      </c>
      <c r="D940" s="1897"/>
      <c r="F940" s="1878">
        <f>'Part VI-Revenues &amp; Expenses'!F183</f>
        <v>4500</v>
      </c>
      <c r="G940" s="1878">
        <f>'Part VI-Revenues &amp; Expenses'!G183</f>
        <v>0</v>
      </c>
      <c r="I940" s="1629" t="s">
        <v>1383</v>
      </c>
      <c r="K940" s="1889">
        <f>'Part VI-Revenues &amp; Expenses'!K183</f>
        <v>10000</v>
      </c>
      <c r="L940" s="1889">
        <f>'Part VI-Revenues &amp; Expenses'!L183</f>
        <v>0</v>
      </c>
      <c r="M940" s="1902"/>
      <c r="N940" s="1908" t="s">
        <v>40</v>
      </c>
      <c r="R940" s="1775"/>
      <c r="S940" s="1775"/>
      <c r="T940" s="1775"/>
      <c r="U940" s="1775"/>
      <c r="V940" s="1775"/>
      <c r="W940" s="683"/>
      <c r="GT940" s="1828"/>
      <c r="GY940" s="1828"/>
      <c r="GZ940" s="1828"/>
      <c r="HA940" s="1828"/>
      <c r="HB940" s="1828"/>
      <c r="HC940" s="1828"/>
      <c r="HD940" s="1828"/>
      <c r="HE940" s="1828"/>
      <c r="HF940" s="1828"/>
      <c r="HG940" s="1828"/>
      <c r="HH940" s="1828"/>
      <c r="HI940" s="1828"/>
      <c r="HJ940" s="1828"/>
      <c r="HK940" s="1828"/>
      <c r="HL940" s="1828"/>
      <c r="HM940" s="1828"/>
      <c r="HN940" s="1828"/>
      <c r="HO940" s="1828"/>
      <c r="HP940" s="1828"/>
      <c r="HQ940" s="1828"/>
      <c r="HR940" s="1828"/>
      <c r="HS940" s="1828"/>
      <c r="HT940" s="1828"/>
      <c r="HU940" s="1828"/>
      <c r="HV940" s="1828"/>
      <c r="HW940" s="1828"/>
      <c r="HX940" s="1828"/>
      <c r="HY940" s="1828"/>
      <c r="HZ940" s="1828"/>
      <c r="IA940" s="1828"/>
      <c r="IB940" s="1828"/>
      <c r="IC940" s="1828"/>
      <c r="ID940" s="1828"/>
      <c r="IK940" s="1818"/>
      <c r="JA940" s="1818"/>
      <c r="JB940" s="1818"/>
    </row>
    <row r="941" spans="2:262" s="1629" customFormat="1" ht="15.6" customHeight="1">
      <c r="B941" s="1629" t="s">
        <v>1013</v>
      </c>
      <c r="D941" s="1897"/>
      <c r="F941" s="1878">
        <f>'Part VI-Revenues &amp; Expenses'!F184</f>
        <v>5000</v>
      </c>
      <c r="G941" s="1878">
        <f>'Part VI-Revenues &amp; Expenses'!G184</f>
        <v>0</v>
      </c>
      <c r="I941" s="1896" t="str">
        <f>'Part VI-Revenues &amp; Expenses'!I184</f>
        <v>Other (describe here)</v>
      </c>
      <c r="J941" s="1896">
        <f>'Part VI-Revenues &amp; Expenses'!J184</f>
        <v>0</v>
      </c>
      <c r="K941" s="1889">
        <f>'Part VI-Revenues &amp; Expenses'!K184</f>
        <v>0</v>
      </c>
      <c r="L941" s="1889">
        <f>'Part VI-Revenues &amp; Expenses'!L184</f>
        <v>0</v>
      </c>
      <c r="M941" s="1902"/>
      <c r="N941" s="1631" t="s">
        <v>3451</v>
      </c>
      <c r="O941" s="1909" t="str">
        <f>CONCATENATE(SUM(JC805:JG805)," units x $",'DCA Underwriting Assumptions'!$Q$65," =")</f>
        <v>0 units x $350 =</v>
      </c>
      <c r="P941" s="1909">
        <f>SUM(JC805:JG805)*'DCA Underwriting Assumptions'!$Q$65</f>
        <v>0</v>
      </c>
      <c r="Q941" s="1909"/>
      <c r="R941" s="1775"/>
      <c r="S941" s="1775"/>
      <c r="T941" s="1775"/>
      <c r="U941" s="1775"/>
      <c r="V941" s="1775"/>
      <c r="W941" s="683"/>
      <c r="GT941" s="1828"/>
      <c r="GY941" s="1828"/>
      <c r="GZ941" s="1828"/>
      <c r="HA941" s="1828"/>
      <c r="HB941" s="1828"/>
      <c r="HC941" s="1828"/>
      <c r="HD941" s="1828"/>
      <c r="HE941" s="1828"/>
      <c r="HF941" s="1828"/>
      <c r="HG941" s="1828"/>
      <c r="HH941" s="1828"/>
      <c r="HI941" s="1828"/>
      <c r="HJ941" s="1828"/>
      <c r="HK941" s="1828"/>
      <c r="HL941" s="1828"/>
      <c r="HM941" s="1828"/>
      <c r="HN941" s="1828"/>
      <c r="HO941" s="1828"/>
      <c r="HP941" s="1828"/>
      <c r="HQ941" s="1828"/>
      <c r="HR941" s="1828"/>
      <c r="HS941" s="1828"/>
      <c r="HT941" s="1828"/>
      <c r="HU941" s="1828"/>
      <c r="HV941" s="1828"/>
      <c r="HW941" s="1828"/>
      <c r="HX941" s="1828"/>
      <c r="HY941" s="1828"/>
      <c r="HZ941" s="1828"/>
      <c r="IA941" s="1828"/>
      <c r="IB941" s="1828"/>
      <c r="IC941" s="1828"/>
      <c r="ID941" s="1828"/>
      <c r="IK941" s="1818"/>
      <c r="JA941" s="1818"/>
      <c r="JB941" s="1818"/>
    </row>
    <row r="942" spans="2:262" s="1629" customFormat="1" ht="15.6" customHeight="1">
      <c r="B942" s="1629" t="s">
        <v>1014</v>
      </c>
      <c r="D942" s="1897"/>
      <c r="F942" s="1878">
        <f>'Part VI-Revenues &amp; Expenses'!F185</f>
        <v>0</v>
      </c>
      <c r="G942" s="1878">
        <f>'Part VI-Revenues &amp; Expenses'!G185</f>
        <v>0</v>
      </c>
      <c r="J942" s="1895" t="s">
        <v>193</v>
      </c>
      <c r="K942" s="1889">
        <f>SUM(K937:K941)</f>
        <v>36500</v>
      </c>
      <c r="L942" s="1889"/>
      <c r="M942" s="1902"/>
      <c r="N942" s="1631" t="s">
        <v>3450</v>
      </c>
      <c r="O942" s="1909" t="str">
        <f>CONCATENATE(SUM(JH805:JL805)," units x $",'DCA Underwriting Assumptions'!$Q$66," =")</f>
        <v>23 units x $250 =</v>
      </c>
      <c r="P942" s="1909">
        <f>SUM(JH805:JL805)*'DCA Underwriting Assumptions'!$Q$66</f>
        <v>5750</v>
      </c>
      <c r="Q942" s="1909"/>
      <c r="R942" s="1775"/>
      <c r="S942" s="1775"/>
      <c r="T942" s="1775"/>
      <c r="U942" s="1775"/>
      <c r="V942" s="1775"/>
      <c r="W942" s="683"/>
      <c r="GT942" s="1828"/>
      <c r="GY942" s="1828"/>
      <c r="GZ942" s="1828"/>
      <c r="HA942" s="1828"/>
      <c r="HB942" s="1828"/>
      <c r="HC942" s="1828"/>
      <c r="HD942" s="1828"/>
      <c r="HE942" s="1828"/>
      <c r="HF942" s="1828"/>
      <c r="HG942" s="1828"/>
      <c r="HH942" s="1828"/>
      <c r="HI942" s="1828"/>
      <c r="HJ942" s="1828"/>
      <c r="HK942" s="1828"/>
      <c r="HL942" s="1828"/>
      <c r="HM942" s="1828"/>
      <c r="HN942" s="1828"/>
      <c r="HO942" s="1828"/>
      <c r="HP942" s="1828"/>
      <c r="HQ942" s="1828"/>
      <c r="HR942" s="1828"/>
      <c r="HS942" s="1828"/>
      <c r="HT942" s="1828"/>
      <c r="HU942" s="1828"/>
      <c r="HV942" s="1828"/>
      <c r="HW942" s="1828"/>
      <c r="HX942" s="1828"/>
      <c r="HY942" s="1828"/>
      <c r="HZ942" s="1828"/>
      <c r="IA942" s="1828"/>
      <c r="IB942" s="1828"/>
      <c r="IC942" s="1828"/>
      <c r="ID942" s="1828"/>
      <c r="IK942" s="1818"/>
      <c r="JA942" s="1818"/>
      <c r="JB942" s="1818"/>
    </row>
    <row r="943" spans="2:262" s="1629" customFormat="1" ht="15.6" customHeight="1">
      <c r="B943" s="1629" t="s">
        <v>876</v>
      </c>
      <c r="D943" s="1897"/>
      <c r="F943" s="1878">
        <f>'Part VI-Revenues &amp; Expenses'!F186</f>
        <v>5000</v>
      </c>
      <c r="G943" s="1878">
        <f>'Part VI-Revenues &amp; Expenses'!G186</f>
        <v>0</v>
      </c>
      <c r="J943" s="1865"/>
      <c r="M943" s="1902"/>
      <c r="N943" s="1748" t="s">
        <v>3454</v>
      </c>
      <c r="O943" s="1909" t="str">
        <f>CONCATENATE(SUM(JM805:JQ805)," units x $",'DCA Underwriting Assumptions'!$Q$67," =")</f>
        <v>42 units x $420 =</v>
      </c>
      <c r="P943" s="1909">
        <f>SUM(JM805:JQ805)*'DCA Underwriting Assumptions'!$Q$67</f>
        <v>17640</v>
      </c>
      <c r="Q943" s="1909"/>
      <c r="R943" s="1775"/>
      <c r="S943" s="1775"/>
      <c r="T943" s="1775"/>
      <c r="U943" s="1775"/>
      <c r="V943" s="1775"/>
      <c r="W943" s="683"/>
      <c r="GT943" s="1828"/>
      <c r="GY943" s="1828"/>
      <c r="GZ943" s="1828"/>
      <c r="HA943" s="1828"/>
      <c r="HB943" s="1828"/>
      <c r="HC943" s="1828"/>
      <c r="HD943" s="1828"/>
      <c r="HE943" s="1828"/>
      <c r="HF943" s="1828"/>
      <c r="HG943" s="1828"/>
      <c r="HH943" s="1828"/>
      <c r="HI943" s="1828"/>
      <c r="HJ943" s="1828"/>
      <c r="HK943" s="1828"/>
      <c r="HL943" s="1828"/>
      <c r="HM943" s="1828"/>
      <c r="HN943" s="1828"/>
      <c r="HO943" s="1828"/>
      <c r="HP943" s="1828"/>
      <c r="HQ943" s="1828"/>
      <c r="HR943" s="1828"/>
      <c r="HS943" s="1828"/>
      <c r="HT943" s="1828"/>
      <c r="HU943" s="1828"/>
      <c r="HV943" s="1828"/>
      <c r="HW943" s="1828"/>
      <c r="HX943" s="1828"/>
      <c r="HY943" s="1828"/>
      <c r="HZ943" s="1828"/>
      <c r="IA943" s="1828"/>
      <c r="IB943" s="1828"/>
      <c r="IC943" s="1828"/>
      <c r="ID943" s="1828"/>
      <c r="IK943" s="1818"/>
      <c r="JA943" s="1818"/>
      <c r="JB943" s="1818"/>
    </row>
    <row r="944" spans="2:262" s="1629" customFormat="1" ht="15.6" customHeight="1">
      <c r="B944" s="478" t="str">
        <f>'Part VI-Revenues &amp; Expenses'!B187</f>
        <v>Other (describe here)</v>
      </c>
      <c r="C944" s="478">
        <f>'Part VI-Revenues &amp; Expenses'!C187</f>
        <v>0</v>
      </c>
      <c r="D944" s="478">
        <f>'Part VI-Revenues &amp; Expenses'!D187</f>
        <v>0</v>
      </c>
      <c r="E944" s="478">
        <f>'Part VI-Revenues &amp; Expenses'!E187</f>
        <v>0</v>
      </c>
      <c r="F944" s="1878">
        <f>'Part VI-Revenues &amp; Expenses'!F187</f>
        <v>1500</v>
      </c>
      <c r="G944" s="1878">
        <f>'Part VI-Revenues &amp; Expenses'!G187</f>
        <v>0</v>
      </c>
      <c r="J944" s="1865"/>
      <c r="N944" s="1748" t="s">
        <v>3449</v>
      </c>
      <c r="O944" s="1909" t="str">
        <f>CONCATENATE(O841," units x $",'DCA Underwriting Assumptions'!$Q$67," =")</f>
        <v>0 units x $420 =</v>
      </c>
      <c r="P944" s="1909">
        <f>O841*'DCA Underwriting Assumptions'!$Q$67</f>
        <v>0</v>
      </c>
      <c r="Q944" s="1909"/>
      <c r="R944" s="1775"/>
      <c r="S944" s="1775"/>
      <c r="T944" s="1775"/>
      <c r="U944" s="1775"/>
      <c r="V944" s="1775"/>
      <c r="W944" s="683"/>
      <c r="GT944" s="1828"/>
      <c r="GY944" s="1828"/>
      <c r="GZ944" s="1828"/>
      <c r="HA944" s="1828"/>
      <c r="HB944" s="1828"/>
      <c r="HC944" s="1828"/>
      <c r="HD944" s="1828"/>
      <c r="HE944" s="1828"/>
      <c r="HF944" s="1828"/>
      <c r="HG944" s="1828"/>
      <c r="HH944" s="1828"/>
      <c r="HI944" s="1828"/>
      <c r="HJ944" s="1828"/>
      <c r="HK944" s="1828"/>
      <c r="HL944" s="1828"/>
      <c r="HM944" s="1828"/>
      <c r="HN944" s="1828"/>
      <c r="HO944" s="1828"/>
      <c r="HP944" s="1828"/>
      <c r="HQ944" s="1828"/>
      <c r="HR944" s="1828"/>
      <c r="HS944" s="1828"/>
      <c r="HT944" s="1828"/>
      <c r="HU944" s="1828"/>
      <c r="HV944" s="1828"/>
      <c r="HW944" s="1828"/>
      <c r="HX944" s="1828"/>
      <c r="HY944" s="1828"/>
      <c r="HZ944" s="1828"/>
      <c r="IA944" s="1828"/>
      <c r="IB944" s="1828"/>
      <c r="IC944" s="1828"/>
      <c r="ID944" s="1828"/>
      <c r="IK944" s="1818"/>
      <c r="JA944" s="1818"/>
      <c r="JB944" s="1818"/>
    </row>
    <row r="945" spans="1:262" s="1629" customFormat="1" ht="15.6" customHeight="1">
      <c r="B945" s="1818"/>
      <c r="C945" s="1895" t="s">
        <v>193</v>
      </c>
      <c r="F945" s="1878">
        <f>SUM(F937:G944)</f>
        <v>51000</v>
      </c>
      <c r="G945" s="1878"/>
      <c r="J945" s="1865"/>
      <c r="N945" s="1858" t="s">
        <v>2735</v>
      </c>
      <c r="O945" s="1852">
        <f>SUM(JC805:JG805)+SUM(JH805:JL805)+SUM(JM805:JQ805)+O841</f>
        <v>65</v>
      </c>
      <c r="P945" s="1910">
        <f>SUM(P941:P944)</f>
        <v>23390</v>
      </c>
      <c r="Q945" s="1909"/>
      <c r="R945" s="1775"/>
      <c r="S945" s="1775"/>
      <c r="T945" s="1775"/>
      <c r="U945" s="1775"/>
      <c r="V945" s="1775"/>
      <c r="W945" s="683"/>
      <c r="GT945" s="1828"/>
      <c r="GY945" s="1828"/>
      <c r="GZ945" s="1828"/>
      <c r="HA945" s="1828"/>
      <c r="HB945" s="1828"/>
      <c r="HC945" s="1828"/>
      <c r="HD945" s="1828"/>
      <c r="HE945" s="1828"/>
      <c r="HF945" s="1828"/>
      <c r="HG945" s="1828"/>
      <c r="HH945" s="1828"/>
      <c r="HI945" s="1828"/>
      <c r="HJ945" s="1828"/>
      <c r="HK945" s="1828"/>
      <c r="HL945" s="1828"/>
      <c r="HM945" s="1828"/>
      <c r="HN945" s="1828"/>
      <c r="HO945" s="1828"/>
      <c r="HP945" s="1828"/>
      <c r="HQ945" s="1828"/>
      <c r="HR945" s="1828"/>
      <c r="HS945" s="1828"/>
      <c r="HT945" s="1828"/>
      <c r="HU945" s="1828"/>
      <c r="HV945" s="1828"/>
      <c r="HW945" s="1828"/>
      <c r="HX945" s="1828"/>
      <c r="HY945" s="1828"/>
      <c r="HZ945" s="1828"/>
      <c r="IA945" s="1828"/>
      <c r="IB945" s="1828"/>
      <c r="IC945" s="1828"/>
      <c r="ID945" s="1828"/>
      <c r="IK945" s="1818"/>
      <c r="JA945" s="1818"/>
      <c r="JB945" s="1818"/>
    </row>
    <row r="946" spans="1:262" s="1629" customFormat="1" ht="6" customHeight="1">
      <c r="B946" s="1818"/>
      <c r="C946" s="1895"/>
      <c r="F946" s="1865"/>
      <c r="G946" s="1865"/>
      <c r="J946" s="1865"/>
      <c r="W946" s="683"/>
      <c r="GT946" s="1828"/>
      <c r="GY946" s="1828"/>
      <c r="GZ946" s="1828"/>
      <c r="HA946" s="1828"/>
      <c r="HB946" s="1828"/>
      <c r="HC946" s="1828"/>
      <c r="HD946" s="1828"/>
      <c r="HE946" s="1828"/>
      <c r="HF946" s="1828"/>
      <c r="HG946" s="1828"/>
      <c r="HH946" s="1828"/>
      <c r="HI946" s="1828"/>
      <c r="HJ946" s="1828"/>
      <c r="HK946" s="1828"/>
      <c r="HL946" s="1828"/>
      <c r="HM946" s="1828"/>
      <c r="HN946" s="1828"/>
      <c r="HO946" s="1828"/>
      <c r="HP946" s="1828"/>
      <c r="HQ946" s="1828"/>
      <c r="HR946" s="1828"/>
      <c r="HS946" s="1828"/>
      <c r="HT946" s="1828"/>
      <c r="HU946" s="1828"/>
      <c r="HV946" s="1828"/>
      <c r="HW946" s="1828"/>
      <c r="HX946" s="1828"/>
      <c r="HY946" s="1828"/>
      <c r="HZ946" s="1828"/>
      <c r="IA946" s="1828"/>
      <c r="IB946" s="1828"/>
      <c r="IC946" s="1828"/>
      <c r="ID946" s="1828"/>
      <c r="IK946" s="1818"/>
      <c r="JA946" s="1818"/>
      <c r="JB946" s="1818"/>
    </row>
    <row r="947" spans="1:262" s="1629" customFormat="1" ht="15.6" customHeight="1">
      <c r="B947" s="1818"/>
      <c r="C947" s="1895"/>
      <c r="F947" s="1865"/>
      <c r="G947" s="1865"/>
      <c r="J947" s="1865"/>
      <c r="N947" s="1818" t="s">
        <v>2203</v>
      </c>
      <c r="P947" s="1889">
        <f>P932+P936</f>
        <v>322193</v>
      </c>
      <c r="Q947" s="1889"/>
      <c r="W947" s="683"/>
      <c r="GT947" s="1828"/>
      <c r="GY947" s="1828"/>
      <c r="GZ947" s="1828"/>
      <c r="HA947" s="1828"/>
      <c r="HB947" s="1828"/>
      <c r="HC947" s="1828"/>
      <c r="HD947" s="1828"/>
      <c r="HE947" s="1828"/>
      <c r="HF947" s="1828"/>
      <c r="HG947" s="1828"/>
      <c r="HH947" s="1828"/>
      <c r="HI947" s="1828"/>
      <c r="HJ947" s="1828"/>
      <c r="HK947" s="1828"/>
      <c r="HL947" s="1828"/>
      <c r="HM947" s="1828"/>
      <c r="HN947" s="1828"/>
      <c r="HO947" s="1828"/>
      <c r="HP947" s="1828"/>
      <c r="HQ947" s="1828"/>
      <c r="HR947" s="1828"/>
      <c r="HS947" s="1828"/>
      <c r="HT947" s="1828"/>
      <c r="HU947" s="1828"/>
      <c r="HV947" s="1828"/>
      <c r="HW947" s="1828"/>
      <c r="HX947" s="1828"/>
      <c r="HY947" s="1828"/>
      <c r="HZ947" s="1828"/>
      <c r="IA947" s="1828"/>
      <c r="IB947" s="1828"/>
      <c r="IC947" s="1828"/>
      <c r="ID947" s="1828"/>
      <c r="IK947" s="1818"/>
      <c r="JA947" s="1818"/>
      <c r="JB947" s="1818"/>
    </row>
    <row r="948" spans="1:262" s="1629" customFormat="1" ht="8.25" customHeight="1">
      <c r="B948" s="1818"/>
      <c r="C948" s="1895"/>
      <c r="F948" s="1865"/>
      <c r="G948" s="1865"/>
      <c r="J948" s="1865"/>
      <c r="N948" s="1818"/>
      <c r="P948" s="1889"/>
      <c r="Q948" s="1889"/>
      <c r="W948" s="683"/>
      <c r="GT948" s="1828"/>
      <c r="GY948" s="1828"/>
      <c r="GZ948" s="1828"/>
      <c r="HA948" s="1828"/>
      <c r="HB948" s="1828"/>
      <c r="HC948" s="1828"/>
      <c r="HD948" s="1828"/>
      <c r="HE948" s="1828"/>
      <c r="HF948" s="1828"/>
      <c r="HG948" s="1828"/>
      <c r="HH948" s="1828"/>
      <c r="HI948" s="1828"/>
      <c r="HJ948" s="1828"/>
      <c r="HK948" s="1828"/>
      <c r="HL948" s="1828"/>
      <c r="HM948" s="1828"/>
      <c r="HN948" s="1828"/>
      <c r="HO948" s="1828"/>
      <c r="HP948" s="1828"/>
      <c r="HQ948" s="1828"/>
      <c r="HR948" s="1828"/>
      <c r="HS948" s="1828"/>
      <c r="HT948" s="1828"/>
      <c r="HU948" s="1828"/>
      <c r="HV948" s="1828"/>
      <c r="HW948" s="1828"/>
      <c r="HX948" s="1828"/>
      <c r="HY948" s="1828"/>
      <c r="HZ948" s="1828"/>
      <c r="IA948" s="1828"/>
      <c r="IB948" s="1828"/>
      <c r="IC948" s="1828"/>
      <c r="ID948" s="1828"/>
      <c r="IK948" s="1818"/>
      <c r="JA948" s="1818"/>
      <c r="JB948" s="1818"/>
    </row>
    <row r="949" spans="1:262" ht="12" customHeight="1">
      <c r="A949" s="1821" t="s">
        <v>1807</v>
      </c>
      <c r="B949" s="1821" t="s">
        <v>577</v>
      </c>
      <c r="M949" s="1821" t="s">
        <v>4154</v>
      </c>
      <c r="N949" s="1821"/>
      <c r="GT949" s="1824"/>
      <c r="GY949" s="1824"/>
      <c r="GZ949" s="1824"/>
      <c r="HA949" s="1824"/>
      <c r="HB949" s="1824"/>
      <c r="HC949" s="1824"/>
      <c r="HD949" s="1824"/>
      <c r="HE949" s="1824"/>
      <c r="HF949" s="1824"/>
      <c r="HG949" s="1824"/>
      <c r="HH949" s="1824"/>
      <c r="HI949" s="1824"/>
      <c r="HJ949" s="1824"/>
      <c r="HK949" s="1824"/>
      <c r="HL949" s="1824"/>
      <c r="HM949" s="1824"/>
      <c r="HN949" s="1824"/>
      <c r="HO949" s="1824"/>
      <c r="HP949" s="1824"/>
      <c r="HQ949" s="1824"/>
      <c r="HR949" s="1824"/>
      <c r="HS949" s="1824"/>
      <c r="HT949" s="1824"/>
      <c r="HU949" s="1824"/>
      <c r="HV949" s="1824"/>
      <c r="HW949" s="1824"/>
      <c r="HX949" s="1824"/>
      <c r="HY949" s="1824"/>
      <c r="HZ949" s="1824"/>
      <c r="IA949" s="1824"/>
      <c r="IB949" s="1824"/>
      <c r="IC949" s="1824"/>
      <c r="ID949" s="1824"/>
      <c r="IK949" s="1821"/>
      <c r="JA949" s="1821"/>
      <c r="JB949" s="1821"/>
    </row>
    <row r="950" spans="1:262" ht="186.75" customHeight="1">
      <c r="A950" s="1697" t="str">
        <f>'Part VI-Revenues &amp; Expenses'!A193</f>
        <v xml:space="preserve">•Property taxes &amp; Insurance were provided by the relevant parties; Tax Assesor's office &amp; Insurance Agent. Please see Tab 01-01-02.
•MHA is providing Project Based Vouchers for 25 of the 65 units.   Rents can therefore exceed the Gross Rent Limit (GRL) if there is a PBRA contract for 10 years or more, per Pg 24 of the Core App. instructions.  Our PBRA contract with the MHA is for 20 years, per Tabs 01-03-01 and 26-01.  Therefore, the GRL can be based on the lesser of a) the 2018 FMRs for Macon-Bibb County times 110% minus the Utility Allowance, or b) market rents (the Section 8 "rent reasonableness test".) This is the maximum rent for PBV units in Qualified Census Tracts, per the Project Based Voucher program Final Rule, 24 CFR 983.301(b).  The Novogradac Rent Letter dated May 7, 2018 (Tab 5) established the market rents ("rent reasonableness") at $700 and $825 for the 2 and 3 BR units, respectively.  Macon-Housing Authority made the determination to go with slightly lower rents to be more consistent with the projected rents for the prior two family phases, Tindall Fields I (2016-043) and Tindall Fields II (2017-027). The rents were set at $630 for 2-BR and $800 for 3BR. This rent letter from MHA can be found at Tab 05-01-03. 
•We are using the 2018 FMRs and the 2018 MHA Utility Allowances since both were in effect on January 1, 2018. 
•Water and sewer costs will be paid by the residents.  The water cost shown is for office, common area usage, etc.
There are some shared savings by having one community building; for example we will require a part-time manager for this property. However, since the community building and entire family development will serve 194 families, we are expecting increased usage to our amenities and site. 
As part of the $5000 supportive services budget above,  $2328 will be used to run our "Enriched Property Services" mentoring &amp; financial literacy program. Thanks to the generousity of our partners who are donating financial and in-kind contributions, this is a very reasonable low cost to Tindall Fields III. </v>
      </c>
      <c r="B950" s="1697">
        <f>'Part VI-Revenues &amp; Expenses'!B193</f>
        <v>0</v>
      </c>
      <c r="C950" s="1697">
        <f>'Part VI-Revenues &amp; Expenses'!C193</f>
        <v>0</v>
      </c>
      <c r="D950" s="1697">
        <f>'Part VI-Revenues &amp; Expenses'!D193</f>
        <v>0</v>
      </c>
      <c r="E950" s="1697">
        <f>'Part VI-Revenues &amp; Expenses'!E193</f>
        <v>0</v>
      </c>
      <c r="F950" s="1697">
        <f>'Part VI-Revenues &amp; Expenses'!F193</f>
        <v>0</v>
      </c>
      <c r="G950" s="1697">
        <f>'Part VI-Revenues &amp; Expenses'!G193</f>
        <v>0</v>
      </c>
      <c r="H950" s="1697">
        <f>'Part VI-Revenues &amp; Expenses'!H193</f>
        <v>0</v>
      </c>
      <c r="I950" s="1697">
        <f>'Part VI-Revenues &amp; Expenses'!I193</f>
        <v>0</v>
      </c>
      <c r="J950" s="1697">
        <f>'Part VI-Revenues &amp; Expenses'!J193</f>
        <v>0</v>
      </c>
      <c r="K950" s="1697">
        <f>'Part VI-Revenues &amp; Expenses'!K193</f>
        <v>0</v>
      </c>
      <c r="L950" s="1697">
        <f>'Part VI-Revenues &amp; Expenses'!L193</f>
        <v>0</v>
      </c>
      <c r="M950" s="1697">
        <f>'Part VI-Revenues &amp; Expenses'!M193</f>
        <v>0</v>
      </c>
      <c r="N950" s="1697">
        <f>'Part VI-Revenues &amp; Expenses'!N193</f>
        <v>0</v>
      </c>
      <c r="O950" s="1697">
        <f>'Part VI-Revenues &amp; Expenses'!O193</f>
        <v>0</v>
      </c>
      <c r="P950" s="1697">
        <f>'Part VI-Revenues &amp; Expenses'!P193</f>
        <v>0</v>
      </c>
      <c r="Q950" s="1799" t="s">
        <v>4153</v>
      </c>
      <c r="R950" s="1799"/>
      <c r="S950" s="1799"/>
      <c r="T950" s="1799"/>
      <c r="GT950" s="1824"/>
      <c r="GY950" s="1824"/>
      <c r="GZ950" s="1824"/>
      <c r="HA950" s="1824"/>
      <c r="HB950" s="1824"/>
      <c r="HC950" s="1824"/>
      <c r="HD950" s="1824"/>
      <c r="HE950" s="1824"/>
      <c r="HF950" s="1824"/>
      <c r="HG950" s="1824"/>
      <c r="HH950" s="1824"/>
      <c r="HI950" s="1824"/>
      <c r="HJ950" s="1824"/>
      <c r="HK950" s="1824"/>
      <c r="HL950" s="1824"/>
      <c r="HM950" s="1824"/>
      <c r="HN950" s="1824"/>
      <c r="HO950" s="1824"/>
      <c r="HP950" s="1824"/>
      <c r="HQ950" s="1824"/>
      <c r="HR950" s="1824"/>
      <c r="HS950" s="1824"/>
      <c r="HT950" s="1824"/>
      <c r="HU950" s="1824"/>
      <c r="HV950" s="1824"/>
      <c r="HW950" s="1824"/>
      <c r="HX950" s="1824"/>
      <c r="HY950" s="1824"/>
      <c r="HZ950" s="1824"/>
      <c r="IA950" s="1824"/>
      <c r="IB950" s="1824"/>
      <c r="IC950" s="1824"/>
      <c r="ID950" s="1824"/>
      <c r="IK950" s="1821"/>
      <c r="JA950" s="1821"/>
      <c r="JB950" s="1821"/>
    </row>
    <row r="957" spans="1:262">
      <c r="A957" s="1818" t="str">
        <f>CONCATENATE("PART SEVEN - OPERATING PRO FORMA","  -  ",'Part I-Project Information'!$O$6," ",'Part I-Project Information'!$F$34,", ",'Part I-Project Information'!F994,", ",'Part I-Project Information'!J995," County")</f>
        <v>PART SEVEN - OPERATING PRO FORMA  -  2018-013 Tindall Fields III, ,  County</v>
      </c>
      <c r="B957" s="1716"/>
      <c r="C957" s="1716"/>
      <c r="D957" s="1716"/>
      <c r="E957" s="1716"/>
      <c r="F957" s="1716"/>
      <c r="G957" s="1716"/>
      <c r="H957" s="1716"/>
      <c r="I957" s="1716"/>
      <c r="J957" s="1716"/>
      <c r="K957" s="1716"/>
    </row>
    <row r="958" spans="1:262">
      <c r="A958" s="1825"/>
      <c r="B958" s="1825"/>
      <c r="C958" s="1825"/>
      <c r="D958" s="1825"/>
      <c r="E958" s="1825"/>
      <c r="F958" s="1825"/>
      <c r="G958" s="1825"/>
      <c r="H958" s="1825"/>
      <c r="I958" s="1825"/>
      <c r="J958" s="1825"/>
      <c r="K958" s="1825"/>
    </row>
    <row r="959" spans="1:262" ht="13.5">
      <c r="A959" s="1821" t="s">
        <v>91</v>
      </c>
      <c r="D959" s="1821" t="s">
        <v>81</v>
      </c>
      <c r="E959" s="1837"/>
      <c r="F959" s="1627" t="s">
        <v>4786</v>
      </c>
    </row>
    <row r="961" spans="1:11" ht="12.75" customHeight="1">
      <c r="A961" s="683" t="s">
        <v>2204</v>
      </c>
      <c r="B961" s="1911">
        <v>0.02</v>
      </c>
      <c r="D961" s="1775" t="s">
        <v>4787</v>
      </c>
      <c r="E961" s="1775"/>
      <c r="F961" s="1775"/>
      <c r="G961" s="1912">
        <f>'Part VII-Pro Forma'!G5</f>
        <v>12500</v>
      </c>
      <c r="H961" s="1874" t="s">
        <v>1922</v>
      </c>
      <c r="K961" s="1913" t="e">
        <f>IF(($B$14+$B$15+$B$16+$B$17)=0,"",B984/($B$14+$B$15+$B$16+$B$17))</f>
        <v>#VALUE!</v>
      </c>
    </row>
    <row r="962" spans="1:11">
      <c r="A962" s="683" t="s">
        <v>2205</v>
      </c>
      <c r="B962" s="1911">
        <v>0.03</v>
      </c>
      <c r="D962" s="1775"/>
      <c r="E962" s="1775"/>
      <c r="F962" s="1775"/>
      <c r="G962" s="1914">
        <f>IF(OR('Part III-Sources of Funds'!B967="Yes",'Part III-Sources of Funds'!E967&gt;0),'DCA Underwriting Assumptions'!$Q$95,0)</f>
        <v>0</v>
      </c>
    </row>
    <row r="963" spans="1:11">
      <c r="A963" s="683" t="s">
        <v>2207</v>
      </c>
      <c r="B963" s="1911">
        <v>0.03</v>
      </c>
      <c r="D963" s="1629" t="s">
        <v>272</v>
      </c>
      <c r="G963" s="1915"/>
      <c r="H963" s="1874" t="s">
        <v>2390</v>
      </c>
      <c r="K963" s="1913" t="e">
        <f>IF(($B$14+$B$15+$B$16+$B$17)=0,"",-B976/($B$14+$B$15+$B$16+$B$17))</f>
        <v>#VALUE!</v>
      </c>
    </row>
    <row r="964" spans="1:11">
      <c r="A964" s="683" t="s">
        <v>2206</v>
      </c>
      <c r="B964" s="1911">
        <f>'Part VII-Pro Forma'!B8</f>
        <v>7.0000000000000007E-2</v>
      </c>
      <c r="D964" s="1629" t="s">
        <v>2525</v>
      </c>
      <c r="G964" s="1916" t="str">
        <f>'Part VII-Pro Forma'!G8</f>
        <v>Yes</v>
      </c>
      <c r="H964" s="1917" t="s">
        <v>1456</v>
      </c>
      <c r="K964" s="1918">
        <f>'Part VII-Pro Forma'!K8</f>
        <v>30420</v>
      </c>
    </row>
    <row r="965" spans="1:11">
      <c r="A965" s="683" t="s">
        <v>1430</v>
      </c>
      <c r="B965" s="1911">
        <v>0.02</v>
      </c>
      <c r="D965" s="1629" t="s">
        <v>1731</v>
      </c>
      <c r="G965" s="1916" t="str">
        <f>'Part VII-Pro Forma'!G9</f>
        <v>No</v>
      </c>
      <c r="H965" s="1917" t="s">
        <v>2372</v>
      </c>
      <c r="K965" s="1919">
        <f>'Part VII-Pro Forma'!K9</f>
        <v>0</v>
      </c>
    </row>
    <row r="967" spans="1:11">
      <c r="A967" s="1821" t="s">
        <v>92</v>
      </c>
      <c r="D967" s="1819"/>
    </row>
    <row r="969" spans="1:11">
      <c r="A969" s="1821" t="s">
        <v>2496</v>
      </c>
      <c r="B969" s="1821">
        <v>1</v>
      </c>
      <c r="C969" s="1821">
        <f t="shared" ref="C969:K969" si="279">B969+1</f>
        <v>2</v>
      </c>
      <c r="D969" s="1821">
        <f t="shared" si="279"/>
        <v>3</v>
      </c>
      <c r="E969" s="1821">
        <f t="shared" si="279"/>
        <v>4</v>
      </c>
      <c r="F969" s="1821">
        <f t="shared" si="279"/>
        <v>5</v>
      </c>
      <c r="G969" s="1821">
        <f t="shared" si="279"/>
        <v>6</v>
      </c>
      <c r="H969" s="1821">
        <f t="shared" si="279"/>
        <v>7</v>
      </c>
      <c r="I969" s="1821">
        <f t="shared" si="279"/>
        <v>8</v>
      </c>
      <c r="J969" s="1821">
        <f t="shared" si="279"/>
        <v>9</v>
      </c>
      <c r="K969" s="1821">
        <f t="shared" si="279"/>
        <v>10</v>
      </c>
    </row>
    <row r="970" spans="1:11">
      <c r="A970" s="683" t="s">
        <v>2420</v>
      </c>
      <c r="B970" s="1920">
        <f>'Part VI-Revenues &amp; Expenses'!$L$49</f>
        <v>464856</v>
      </c>
      <c r="C970" s="1920">
        <f t="shared" ref="C970:K970" si="280">$B$14*(1+$B$5)^(C969-1)</f>
        <v>0</v>
      </c>
      <c r="D970" s="1920">
        <f t="shared" si="280"/>
        <v>0</v>
      </c>
      <c r="E970" s="1920">
        <f t="shared" si="280"/>
        <v>0</v>
      </c>
      <c r="F970" s="1920">
        <f t="shared" si="280"/>
        <v>0</v>
      </c>
      <c r="G970" s="1920">
        <f t="shared" si="280"/>
        <v>0</v>
      </c>
      <c r="H970" s="1920">
        <f t="shared" si="280"/>
        <v>0</v>
      </c>
      <c r="I970" s="1920">
        <f t="shared" si="280"/>
        <v>0</v>
      </c>
      <c r="J970" s="1920">
        <f t="shared" si="280"/>
        <v>0</v>
      </c>
      <c r="K970" s="1920">
        <f t="shared" si="280"/>
        <v>0</v>
      </c>
    </row>
    <row r="971" spans="1:11">
      <c r="A971" s="683" t="s">
        <v>1026</v>
      </c>
      <c r="B971" s="1920">
        <f>MIN(B970*B965,'Part VI-Revenues &amp; Expenses'!$H$122)</f>
        <v>9297.1200000000008</v>
      </c>
      <c r="C971" s="1920">
        <f t="shared" ref="C971:K971" si="281">$B$15*(1+$B$5)^(C969-1)</f>
        <v>0</v>
      </c>
      <c r="D971" s="1920">
        <f t="shared" si="281"/>
        <v>0</v>
      </c>
      <c r="E971" s="1920">
        <f t="shared" si="281"/>
        <v>0</v>
      </c>
      <c r="F971" s="1920">
        <f t="shared" si="281"/>
        <v>0</v>
      </c>
      <c r="G971" s="1920">
        <f t="shared" si="281"/>
        <v>0</v>
      </c>
      <c r="H971" s="1920">
        <f t="shared" si="281"/>
        <v>0</v>
      </c>
      <c r="I971" s="1920">
        <f t="shared" si="281"/>
        <v>0</v>
      </c>
      <c r="J971" s="1920">
        <f t="shared" si="281"/>
        <v>0</v>
      </c>
      <c r="K971" s="1920">
        <f t="shared" si="281"/>
        <v>0</v>
      </c>
    </row>
    <row r="972" spans="1:11">
      <c r="A972" s="683" t="s">
        <v>2421</v>
      </c>
      <c r="B972" s="1920">
        <f t="shared" ref="B972:K972" si="282">-(B970+B971)*$B$8</f>
        <v>0</v>
      </c>
      <c r="C972" s="1920">
        <f t="shared" si="282"/>
        <v>0</v>
      </c>
      <c r="D972" s="1920">
        <f t="shared" si="282"/>
        <v>0</v>
      </c>
      <c r="E972" s="1920">
        <f t="shared" si="282"/>
        <v>0</v>
      </c>
      <c r="F972" s="1920">
        <f t="shared" si="282"/>
        <v>0</v>
      </c>
      <c r="G972" s="1920">
        <f t="shared" si="282"/>
        <v>0</v>
      </c>
      <c r="H972" s="1920">
        <f t="shared" si="282"/>
        <v>0</v>
      </c>
      <c r="I972" s="1920">
        <f t="shared" si="282"/>
        <v>0</v>
      </c>
      <c r="J972" s="1920">
        <f t="shared" si="282"/>
        <v>0</v>
      </c>
      <c r="K972" s="1920">
        <f t="shared" si="282"/>
        <v>0</v>
      </c>
    </row>
    <row r="973" spans="1:11">
      <c r="A973" s="683" t="s">
        <v>53</v>
      </c>
      <c r="B973" s="1920">
        <f>+'Part VI-Revenues &amp; Expenses'!G1084</f>
        <v>0</v>
      </c>
      <c r="C973" s="1920">
        <f>+'Part VI-Revenues &amp; Expenses'!H1084</f>
        <v>0</v>
      </c>
      <c r="D973" s="1920">
        <f>+'Part VI-Revenues &amp; Expenses'!I1084</f>
        <v>0</v>
      </c>
      <c r="E973" s="1920">
        <f>+'Part VI-Revenues &amp; Expenses'!J1084</f>
        <v>0</v>
      </c>
      <c r="F973" s="1920">
        <f>+'Part VI-Revenues &amp; Expenses'!K1084</f>
        <v>0</v>
      </c>
      <c r="G973" s="1920">
        <f>+'Part VI-Revenues &amp; Expenses'!L1084</f>
        <v>0</v>
      </c>
      <c r="H973" s="1920">
        <f>+'Part VI-Revenues &amp; Expenses'!M1084</f>
        <v>0</v>
      </c>
      <c r="I973" s="1920">
        <f>+'Part VI-Revenues &amp; Expenses'!N1084</f>
        <v>0</v>
      </c>
      <c r="J973" s="1920">
        <f>+'Part VI-Revenues &amp; Expenses'!O1084</f>
        <v>0</v>
      </c>
      <c r="K973" s="1920">
        <f>+'Part VI-Revenues &amp; Expenses'!P1084</f>
        <v>0</v>
      </c>
    </row>
    <row r="974" spans="1:11">
      <c r="A974" s="683" t="s">
        <v>54</v>
      </c>
      <c r="B974" s="1920">
        <f>'Part VI-Revenues &amp; Expenses'!G1088</f>
        <v>0</v>
      </c>
      <c r="C974" s="1920">
        <f>'Part VI-Revenues &amp; Expenses'!H1088</f>
        <v>0</v>
      </c>
      <c r="D974" s="1920">
        <f>'Part VI-Revenues &amp; Expenses'!I1088</f>
        <v>0</v>
      </c>
      <c r="E974" s="1920">
        <f>'Part VI-Revenues &amp; Expenses'!J1088</f>
        <v>0</v>
      </c>
      <c r="F974" s="1920">
        <f>'Part VI-Revenues &amp; Expenses'!K1088</f>
        <v>0</v>
      </c>
      <c r="G974" s="1920">
        <f>'Part VI-Revenues &amp; Expenses'!L1088</f>
        <v>0</v>
      </c>
      <c r="H974" s="1920">
        <f>'Part VI-Revenues &amp; Expenses'!M1088</f>
        <v>0</v>
      </c>
      <c r="I974" s="1920">
        <f>'Part VI-Revenues &amp; Expenses'!N1088</f>
        <v>0</v>
      </c>
      <c r="J974" s="1920">
        <f>'Part VI-Revenues &amp; Expenses'!O1088</f>
        <v>0</v>
      </c>
      <c r="K974" s="1920">
        <f>'Part VI-Revenues &amp; Expenses'!P1088</f>
        <v>0</v>
      </c>
    </row>
    <row r="975" spans="1:11">
      <c r="A975" s="683" t="s">
        <v>620</v>
      </c>
      <c r="B975" s="1920">
        <f>-('Part VI-Revenues &amp; Expenses'!$P$175-'Part VI-Revenues &amp; Expenses'!$P$170)</f>
        <v>-268383</v>
      </c>
      <c r="C975" s="1920">
        <f t="shared" ref="C975:K975" si="283">$B$19*(1+$B$6)^(C969-1)</f>
        <v>0</v>
      </c>
      <c r="D975" s="1920">
        <f t="shared" si="283"/>
        <v>0</v>
      </c>
      <c r="E975" s="1920">
        <f t="shared" si="283"/>
        <v>0</v>
      </c>
      <c r="F975" s="1920">
        <f t="shared" si="283"/>
        <v>0</v>
      </c>
      <c r="G975" s="1920">
        <f t="shared" si="283"/>
        <v>0</v>
      </c>
      <c r="H975" s="1920">
        <f t="shared" si="283"/>
        <v>0</v>
      </c>
      <c r="I975" s="1920">
        <f t="shared" si="283"/>
        <v>0</v>
      </c>
      <c r="J975" s="1920">
        <f t="shared" si="283"/>
        <v>0</v>
      </c>
      <c r="K975" s="1920">
        <f t="shared" si="283"/>
        <v>0</v>
      </c>
    </row>
    <row r="976" spans="1:11">
      <c r="A976" s="683" t="s">
        <v>1125</v>
      </c>
      <c r="B976" s="1920">
        <f>IF(AND('Part VII-Pro Forma'!$G$8="Yes",'Part VII-Pro Forma'!$G$9="Yes"),"Choose One!",IF('Part VII-Pro Forma'!$G$8="Yes",ROUND((-$K$8*(1+'Part VII-Pro Forma'!$B$6)^('Part VII-Pro Forma'!B969-1)),),IF('Part VII-Pro Forma'!$G$9="Yes",ROUND((-(SUM(B970:B973)*'Part VII-Pro Forma'!$K$9)),),"Choose mgt fee")))</f>
        <v>0</v>
      </c>
      <c r="C976" s="1920">
        <f>IF(AND('Part VII-Pro Forma'!$G$8="Yes",'Part VII-Pro Forma'!$G$9="Yes"),"Choose One!",IF('Part VII-Pro Forma'!$G$8="Yes",ROUND((-$K$8*(1+'Part VII-Pro Forma'!$B$6)^('Part VII-Pro Forma'!C969-1)),),IF('Part VII-Pro Forma'!$G$9="Yes",ROUND((-(SUM(C970:C973)*'Part VII-Pro Forma'!$K$9)),),"Choose mgt fee")))</f>
        <v>0</v>
      </c>
      <c r="D976" s="1920">
        <f>IF(AND('Part VII-Pro Forma'!$G$8="Yes",'Part VII-Pro Forma'!$G$9="Yes"),"Choose One!",IF('Part VII-Pro Forma'!$G$8="Yes",ROUND((-$K$8*(1+'Part VII-Pro Forma'!$B$6)^('Part VII-Pro Forma'!D969-1)),),IF('Part VII-Pro Forma'!$G$9="Yes",ROUND((-(SUM(D970:D973)*'Part VII-Pro Forma'!$K$9)),),"Choose mgt fee")))</f>
        <v>0</v>
      </c>
      <c r="E976" s="1920">
        <f>IF(AND('Part VII-Pro Forma'!$G$8="Yes",'Part VII-Pro Forma'!$G$9="Yes"),"Choose One!",IF('Part VII-Pro Forma'!$G$8="Yes",ROUND((-$K$8*(1+'Part VII-Pro Forma'!$B$6)^('Part VII-Pro Forma'!E969-1)),),IF('Part VII-Pro Forma'!$G$9="Yes",ROUND((-(SUM(E970:E973)*'Part VII-Pro Forma'!$K$9)),),"Choose mgt fee")))</f>
        <v>0</v>
      </c>
      <c r="F976" s="1920">
        <f>IF(AND('Part VII-Pro Forma'!$G$8="Yes",'Part VII-Pro Forma'!$G$9="Yes"),"Choose One!",IF('Part VII-Pro Forma'!$G$8="Yes",ROUND((-$K$8*(1+'Part VII-Pro Forma'!$B$6)^('Part VII-Pro Forma'!F969-1)),),IF('Part VII-Pro Forma'!$G$9="Yes",ROUND((-(SUM(F970:F973)*'Part VII-Pro Forma'!$K$9)),),"Choose mgt fee")))</f>
        <v>0</v>
      </c>
      <c r="G976" s="1920">
        <f>IF(AND('Part VII-Pro Forma'!$G$8="Yes",'Part VII-Pro Forma'!$G$9="Yes"),"Choose One!",IF('Part VII-Pro Forma'!$G$8="Yes",ROUND((-$K$8*(1+'Part VII-Pro Forma'!$B$6)^('Part VII-Pro Forma'!G969-1)),),IF('Part VII-Pro Forma'!$G$9="Yes",ROUND((-(SUM(G970:G973)*'Part VII-Pro Forma'!$K$9)),),"Choose mgt fee")))</f>
        <v>0</v>
      </c>
      <c r="H976" s="1920">
        <f>IF(AND('Part VII-Pro Forma'!$G$8="Yes",'Part VII-Pro Forma'!$G$9="Yes"),"Choose One!",IF('Part VII-Pro Forma'!$G$8="Yes",ROUND((-$K$8*(1+'Part VII-Pro Forma'!$B$6)^('Part VII-Pro Forma'!H969-1)),),IF('Part VII-Pro Forma'!$G$9="Yes",ROUND((-(SUM(H970:H973)*'Part VII-Pro Forma'!$K$9)),),"Choose mgt fee")))</f>
        <v>0</v>
      </c>
      <c r="I976" s="1920">
        <f>IF(AND('Part VII-Pro Forma'!$G$8="Yes",'Part VII-Pro Forma'!$G$9="Yes"),"Choose One!",IF('Part VII-Pro Forma'!$G$8="Yes",ROUND((-$K$8*(1+'Part VII-Pro Forma'!$B$6)^('Part VII-Pro Forma'!I969-1)),),IF('Part VII-Pro Forma'!$G$9="Yes",ROUND((-(SUM(I970:I973)*'Part VII-Pro Forma'!$K$9)),),"Choose mgt fee")))</f>
        <v>0</v>
      </c>
      <c r="J976" s="1920">
        <f>IF(AND('Part VII-Pro Forma'!$G$8="Yes",'Part VII-Pro Forma'!$G$9="Yes"),"Choose One!",IF('Part VII-Pro Forma'!$G$8="Yes",ROUND((-$K$8*(1+'Part VII-Pro Forma'!$B$6)^('Part VII-Pro Forma'!J969-1)),),IF('Part VII-Pro Forma'!$G$9="Yes",ROUND((-(SUM(J970:J973)*'Part VII-Pro Forma'!$K$9)),),"Choose mgt fee")))</f>
        <v>0</v>
      </c>
      <c r="K976" s="1920">
        <f>IF(AND('Part VII-Pro Forma'!$G$8="Yes",'Part VII-Pro Forma'!$G$9="Yes"),"Choose One!",IF('Part VII-Pro Forma'!$G$8="Yes",ROUND((-$K$8*(1+'Part VII-Pro Forma'!$B$6)^('Part VII-Pro Forma'!K969-1)),),IF('Part VII-Pro Forma'!$G$9="Yes",ROUND((-(SUM(K970:K973)*'Part VII-Pro Forma'!$K$9)),),"Choose mgt fee")))</f>
        <v>0</v>
      </c>
    </row>
    <row r="977" spans="1:11">
      <c r="A977" s="683" t="s">
        <v>1214</v>
      </c>
      <c r="B977" s="1920">
        <f>-('Part VI-Revenues &amp; Expenses'!$P$179)</f>
        <v>-23390</v>
      </c>
      <c r="C977" s="1920">
        <f t="shared" ref="C977:K977" si="284">$B$21*(1+$B$7)^(C969-1)</f>
        <v>0</v>
      </c>
      <c r="D977" s="1920">
        <f t="shared" si="284"/>
        <v>0</v>
      </c>
      <c r="E977" s="1920">
        <f t="shared" si="284"/>
        <v>0</v>
      </c>
      <c r="F977" s="1920">
        <f t="shared" si="284"/>
        <v>0</v>
      </c>
      <c r="G977" s="1920">
        <f t="shared" si="284"/>
        <v>0</v>
      </c>
      <c r="H977" s="1920">
        <f t="shared" si="284"/>
        <v>0</v>
      </c>
      <c r="I977" s="1920">
        <f t="shared" si="284"/>
        <v>0</v>
      </c>
      <c r="J977" s="1920">
        <f t="shared" si="284"/>
        <v>0</v>
      </c>
      <c r="K977" s="1920">
        <f t="shared" si="284"/>
        <v>0</v>
      </c>
    </row>
    <row r="978" spans="1:11">
      <c r="A978" s="683" t="s">
        <v>1215</v>
      </c>
      <c r="B978" s="1920">
        <f t="shared" ref="B978:K978" si="285">SUM(B970:B977)</f>
        <v>182380.12</v>
      </c>
      <c r="C978" s="1920">
        <f t="shared" si="285"/>
        <v>0</v>
      </c>
      <c r="D978" s="1920">
        <f t="shared" si="285"/>
        <v>0</v>
      </c>
      <c r="E978" s="1920">
        <f t="shared" si="285"/>
        <v>0</v>
      </c>
      <c r="F978" s="1920">
        <f t="shared" si="285"/>
        <v>0</v>
      </c>
      <c r="G978" s="1920">
        <f t="shared" si="285"/>
        <v>0</v>
      </c>
      <c r="H978" s="1920">
        <f t="shared" si="285"/>
        <v>0</v>
      </c>
      <c r="I978" s="1920">
        <f t="shared" si="285"/>
        <v>0</v>
      </c>
      <c r="J978" s="1920">
        <f t="shared" si="285"/>
        <v>0</v>
      </c>
      <c r="K978" s="1920">
        <f t="shared" si="285"/>
        <v>0</v>
      </c>
    </row>
    <row r="979" spans="1:11">
      <c r="A979" s="683" t="s">
        <v>1603</v>
      </c>
      <c r="B979" s="1920">
        <f>'Part VII-Pro Forma'!B23</f>
        <v>-62096.071411721852</v>
      </c>
      <c r="C979" s="1920">
        <f>'Part VII-Pro Forma'!C23</f>
        <v>-62096.071411721852</v>
      </c>
      <c r="D979" s="1920">
        <f>'Part VII-Pro Forma'!D23</f>
        <v>-62096.071411721852</v>
      </c>
      <c r="E979" s="1920">
        <f>'Part VII-Pro Forma'!E23</f>
        <v>-62096.071411721852</v>
      </c>
      <c r="F979" s="1920">
        <f>'Part VII-Pro Forma'!F23</f>
        <v>-62096.071411721852</v>
      </c>
      <c r="G979" s="1920">
        <f>'Part VII-Pro Forma'!G23</f>
        <v>-62096.071411721852</v>
      </c>
      <c r="H979" s="1920">
        <f>'Part VII-Pro Forma'!H23</f>
        <v>-62096.071411721852</v>
      </c>
      <c r="I979" s="1920">
        <f>'Part VII-Pro Forma'!I23</f>
        <v>-62096.071411721852</v>
      </c>
      <c r="J979" s="1920">
        <f>'Part VII-Pro Forma'!J23</f>
        <v>-62096.071411721852</v>
      </c>
      <c r="K979" s="1920">
        <f>'Part VII-Pro Forma'!K23</f>
        <v>-62096.071411721852</v>
      </c>
    </row>
    <row r="980" spans="1:11">
      <c r="A980" s="683" t="s">
        <v>1604</v>
      </c>
      <c r="B980" s="1920">
        <f>'Part VII-Pro Forma'!B24</f>
        <v>0</v>
      </c>
      <c r="C980" s="1920">
        <f>'Part VII-Pro Forma'!C24</f>
        <v>0</v>
      </c>
      <c r="D980" s="1920">
        <f>'Part VII-Pro Forma'!D24</f>
        <v>0</v>
      </c>
      <c r="E980" s="1920">
        <f>'Part VII-Pro Forma'!E24</f>
        <v>0</v>
      </c>
      <c r="F980" s="1920">
        <f>'Part VII-Pro Forma'!F24</f>
        <v>0</v>
      </c>
      <c r="G980" s="1920">
        <f>'Part VII-Pro Forma'!G24</f>
        <v>0</v>
      </c>
      <c r="H980" s="1920">
        <f>'Part VII-Pro Forma'!H24</f>
        <v>0</v>
      </c>
      <c r="I980" s="1920">
        <f>'Part VII-Pro Forma'!I24</f>
        <v>0</v>
      </c>
      <c r="J980" s="1920">
        <f>'Part VII-Pro Forma'!J24</f>
        <v>0</v>
      </c>
      <c r="K980" s="1920">
        <f>'Part VII-Pro Forma'!K24</f>
        <v>0</v>
      </c>
    </row>
    <row r="981" spans="1:11">
      <c r="A981" s="683" t="s">
        <v>1605</v>
      </c>
      <c r="B981" s="1920">
        <f>'Part VII-Pro Forma'!B25</f>
        <v>0</v>
      </c>
      <c r="C981" s="1920">
        <f>'Part VII-Pro Forma'!C25</f>
        <v>0</v>
      </c>
      <c r="D981" s="1920">
        <f>'Part VII-Pro Forma'!D25</f>
        <v>0</v>
      </c>
      <c r="E981" s="1920">
        <f>'Part VII-Pro Forma'!E25</f>
        <v>0</v>
      </c>
      <c r="F981" s="1920">
        <f>'Part VII-Pro Forma'!F25</f>
        <v>0</v>
      </c>
      <c r="G981" s="1920">
        <f>'Part VII-Pro Forma'!G25</f>
        <v>0</v>
      </c>
      <c r="H981" s="1920">
        <f>'Part VII-Pro Forma'!H25</f>
        <v>0</v>
      </c>
      <c r="I981" s="1920">
        <f>'Part VII-Pro Forma'!I25</f>
        <v>0</v>
      </c>
      <c r="J981" s="1920">
        <f>'Part VII-Pro Forma'!J25</f>
        <v>0</v>
      </c>
      <c r="K981" s="1920">
        <f>'Part VII-Pro Forma'!K25</f>
        <v>0</v>
      </c>
    </row>
    <row r="982" spans="1:11">
      <c r="A982" s="683" t="s">
        <v>3881</v>
      </c>
      <c r="B982" s="1920">
        <f>'Part VII-Pro Forma'!B26</f>
        <v>0</v>
      </c>
      <c r="C982" s="1920">
        <f>'Part VII-Pro Forma'!C26</f>
        <v>0</v>
      </c>
      <c r="D982" s="1920">
        <f>'Part VII-Pro Forma'!D26</f>
        <v>0</v>
      </c>
      <c r="E982" s="1920">
        <f>'Part VII-Pro Forma'!E26</f>
        <v>0</v>
      </c>
      <c r="F982" s="1920">
        <f>'Part VII-Pro Forma'!F26</f>
        <v>0</v>
      </c>
      <c r="G982" s="1920">
        <f>'Part VII-Pro Forma'!G26</f>
        <v>0</v>
      </c>
      <c r="H982" s="1920">
        <f>'Part VII-Pro Forma'!H26</f>
        <v>0</v>
      </c>
      <c r="I982" s="1920">
        <f>'Part VII-Pro Forma'!I26</f>
        <v>0</v>
      </c>
      <c r="J982" s="1920">
        <f>'Part VII-Pro Forma'!J26</f>
        <v>0</v>
      </c>
      <c r="K982" s="1920">
        <f>'Part VII-Pro Forma'!K26</f>
        <v>0</v>
      </c>
    </row>
    <row r="983" spans="1:11">
      <c r="A983" s="683" t="s">
        <v>771</v>
      </c>
      <c r="B983" s="1920">
        <f>'Part VII-Pro Forma'!B27</f>
        <v>0</v>
      </c>
      <c r="C983" s="1920">
        <f>'Part VII-Pro Forma'!C27</f>
        <v>0</v>
      </c>
      <c r="D983" s="1920">
        <f>'Part VII-Pro Forma'!D27</f>
        <v>0</v>
      </c>
      <c r="E983" s="1920">
        <f>'Part VII-Pro Forma'!E27</f>
        <v>0</v>
      </c>
      <c r="F983" s="1920">
        <f>'Part VII-Pro Forma'!F27</f>
        <v>0</v>
      </c>
      <c r="G983" s="1920">
        <f>'Part VII-Pro Forma'!G27</f>
        <v>0</v>
      </c>
      <c r="H983" s="1920">
        <f>'Part VII-Pro Forma'!H27</f>
        <v>0</v>
      </c>
      <c r="I983" s="1920">
        <f>'Part VII-Pro Forma'!I27</f>
        <v>0</v>
      </c>
      <c r="J983" s="1920">
        <f>'Part VII-Pro Forma'!J27</f>
        <v>0</v>
      </c>
      <c r="K983" s="1920">
        <f>'Part VII-Pro Forma'!K27</f>
        <v>0</v>
      </c>
    </row>
    <row r="984" spans="1:11">
      <c r="A984" s="683" t="s">
        <v>1174</v>
      </c>
      <c r="B984" s="1920">
        <f>'Part VII-Pro Forma'!B28</f>
        <v>-12500</v>
      </c>
      <c r="C984" s="1920">
        <f>'Part VII-Pro Forma'!C28</f>
        <v>-12500</v>
      </c>
      <c r="D984" s="1920">
        <f>'Part VII-Pro Forma'!D28</f>
        <v>-12500</v>
      </c>
      <c r="E984" s="1920">
        <f>'Part VII-Pro Forma'!E28</f>
        <v>-12500</v>
      </c>
      <c r="F984" s="1920">
        <f>'Part VII-Pro Forma'!F28</f>
        <v>-12500</v>
      </c>
      <c r="G984" s="1920">
        <f>'Part VII-Pro Forma'!G28</f>
        <v>-12500</v>
      </c>
      <c r="H984" s="1920">
        <f>'Part VII-Pro Forma'!H28</f>
        <v>-12500</v>
      </c>
      <c r="I984" s="1920">
        <f>'Part VII-Pro Forma'!I28</f>
        <v>-12500</v>
      </c>
      <c r="J984" s="1920">
        <f>'Part VII-Pro Forma'!J28</f>
        <v>-12500</v>
      </c>
      <c r="K984" s="1920">
        <f>'Part VII-Pro Forma'!K28</f>
        <v>-12500</v>
      </c>
    </row>
    <row r="985" spans="1:11">
      <c r="A985" s="683" t="s">
        <v>4127</v>
      </c>
      <c r="B985" s="1920">
        <f>'Part VII-Pro Forma'!B29</f>
        <v>0</v>
      </c>
      <c r="C985" s="1920">
        <f>'Part VII-Pro Forma'!C29</f>
        <v>0</v>
      </c>
      <c r="D985" s="1920">
        <f>'Part VII-Pro Forma'!D29</f>
        <v>0</v>
      </c>
      <c r="E985" s="1920">
        <f>'Part VII-Pro Forma'!E29</f>
        <v>0</v>
      </c>
      <c r="F985" s="1920">
        <f>'Part VII-Pro Forma'!F29</f>
        <v>0</v>
      </c>
      <c r="G985" s="1920">
        <f>'Part VII-Pro Forma'!G29</f>
        <v>0</v>
      </c>
      <c r="H985" s="1920">
        <f>'Part VII-Pro Forma'!H29</f>
        <v>0</v>
      </c>
      <c r="I985" s="1920">
        <f>'Part VII-Pro Forma'!I29</f>
        <v>0</v>
      </c>
      <c r="J985" s="1920">
        <f>'Part VII-Pro Forma'!J29</f>
        <v>0</v>
      </c>
      <c r="K985" s="1920">
        <f>'Part VII-Pro Forma'!K29</f>
        <v>0</v>
      </c>
    </row>
    <row r="986" spans="1:11">
      <c r="A986" s="683" t="s">
        <v>1175</v>
      </c>
      <c r="B986" s="1920">
        <f>SUM(B978:B985)</f>
        <v>107784.04858827815</v>
      </c>
      <c r="C986" s="1920">
        <f t="shared" ref="C986:K986" si="286">SUM(C978:C985)</f>
        <v>-74596.071411721845</v>
      </c>
      <c r="D986" s="1920">
        <f t="shared" si="286"/>
        <v>-74596.071411721845</v>
      </c>
      <c r="E986" s="1920">
        <f t="shared" si="286"/>
        <v>-74596.071411721845</v>
      </c>
      <c r="F986" s="1920">
        <f t="shared" si="286"/>
        <v>-74596.071411721845</v>
      </c>
      <c r="G986" s="1920">
        <f t="shared" si="286"/>
        <v>-74596.071411721845</v>
      </c>
      <c r="H986" s="1920">
        <f t="shared" si="286"/>
        <v>-74596.071411721845</v>
      </c>
      <c r="I986" s="1920">
        <f t="shared" si="286"/>
        <v>-74596.071411721845</v>
      </c>
      <c r="J986" s="1920">
        <f t="shared" si="286"/>
        <v>-74596.071411721845</v>
      </c>
      <c r="K986" s="1920">
        <f t="shared" si="286"/>
        <v>-74596.071411721845</v>
      </c>
    </row>
    <row r="987" spans="1:11">
      <c r="A987" s="683" t="str">
        <f>IF('Part III-Sources of Funds'!$E$37 = "Neither", "", "DCR Mortgage A")</f>
        <v>DCR Mortgage A</v>
      </c>
      <c r="B987" s="1921">
        <f t="shared" ref="B987:K987" si="287">IF(B979=0,"",-B978/B979)</f>
        <v>2.9370637441899774</v>
      </c>
      <c r="C987" s="1921">
        <f t="shared" si="287"/>
        <v>0</v>
      </c>
      <c r="D987" s="1921">
        <f t="shared" si="287"/>
        <v>0</v>
      </c>
      <c r="E987" s="1921">
        <f t="shared" si="287"/>
        <v>0</v>
      </c>
      <c r="F987" s="1921">
        <f t="shared" si="287"/>
        <v>0</v>
      </c>
      <c r="G987" s="1921">
        <f t="shared" si="287"/>
        <v>0</v>
      </c>
      <c r="H987" s="1921">
        <f t="shared" si="287"/>
        <v>0</v>
      </c>
      <c r="I987" s="1921">
        <f t="shared" si="287"/>
        <v>0</v>
      </c>
      <c r="J987" s="1921">
        <f t="shared" si="287"/>
        <v>0</v>
      </c>
      <c r="K987" s="1921">
        <f t="shared" si="287"/>
        <v>0</v>
      </c>
    </row>
    <row r="988" spans="1:11">
      <c r="A988" s="683" t="str">
        <f>IF('Part III-Sources of Funds'!$E$37 = "Neither", "", "DCR Mortgage B")</f>
        <v>DCR Mortgage B</v>
      </c>
      <c r="B988" s="1921" t="str">
        <f t="shared" ref="B988:K988" si="288">IF(B980=0,"",-(B978+B979)/B980)</f>
        <v/>
      </c>
      <c r="C988" s="1921" t="str">
        <f t="shared" si="288"/>
        <v/>
      </c>
      <c r="D988" s="1921" t="str">
        <f t="shared" si="288"/>
        <v/>
      </c>
      <c r="E988" s="1921" t="str">
        <f t="shared" si="288"/>
        <v/>
      </c>
      <c r="F988" s="1921" t="str">
        <f t="shared" si="288"/>
        <v/>
      </c>
      <c r="G988" s="1921" t="str">
        <f t="shared" si="288"/>
        <v/>
      </c>
      <c r="H988" s="1921" t="str">
        <f t="shared" si="288"/>
        <v/>
      </c>
      <c r="I988" s="1921" t="str">
        <f t="shared" si="288"/>
        <v/>
      </c>
      <c r="J988" s="1921" t="str">
        <f t="shared" si="288"/>
        <v/>
      </c>
      <c r="K988" s="1921" t="str">
        <f t="shared" si="288"/>
        <v/>
      </c>
    </row>
    <row r="989" spans="1:11">
      <c r="A989" s="683" t="str">
        <f>IF('Part III-Sources of Funds'!$E$37 = "Neither", "DCR First Mortgage", "DCR Mortgage C")</f>
        <v>DCR Mortgage C</v>
      </c>
      <c r="B989" s="1921" t="str">
        <f t="shared" ref="B989:K989" si="289">IF(B981=0,"",-(B978+B979+B980)/B981)</f>
        <v/>
      </c>
      <c r="C989" s="1921" t="str">
        <f t="shared" si="289"/>
        <v/>
      </c>
      <c r="D989" s="1921" t="str">
        <f t="shared" si="289"/>
        <v/>
      </c>
      <c r="E989" s="1921" t="str">
        <f t="shared" si="289"/>
        <v/>
      </c>
      <c r="F989" s="1921" t="str">
        <f t="shared" si="289"/>
        <v/>
      </c>
      <c r="G989" s="1921" t="str">
        <f t="shared" si="289"/>
        <v/>
      </c>
      <c r="H989" s="1921" t="str">
        <f t="shared" si="289"/>
        <v/>
      </c>
      <c r="I989" s="1921" t="str">
        <f t="shared" si="289"/>
        <v/>
      </c>
      <c r="J989" s="1921" t="str">
        <f t="shared" si="289"/>
        <v/>
      </c>
      <c r="K989" s="1921" t="str">
        <f t="shared" si="289"/>
        <v/>
      </c>
    </row>
    <row r="990" spans="1:11">
      <c r="A990" s="683" t="s">
        <v>791</v>
      </c>
      <c r="B990" s="1921" t="str">
        <f t="shared" ref="B990:K990" si="290">IF(B982=0,"",-(B978+B979+B980+B981)/B982)</f>
        <v/>
      </c>
      <c r="C990" s="1921" t="str">
        <f t="shared" si="290"/>
        <v/>
      </c>
      <c r="D990" s="1921" t="str">
        <f t="shared" si="290"/>
        <v/>
      </c>
      <c r="E990" s="1921" t="str">
        <f t="shared" si="290"/>
        <v/>
      </c>
      <c r="F990" s="1921" t="str">
        <f t="shared" si="290"/>
        <v/>
      </c>
      <c r="G990" s="1921" t="str">
        <f t="shared" si="290"/>
        <v/>
      </c>
      <c r="H990" s="1921" t="str">
        <f t="shared" si="290"/>
        <v/>
      </c>
      <c r="I990" s="1921" t="str">
        <f t="shared" si="290"/>
        <v/>
      </c>
      <c r="J990" s="1921" t="str">
        <f t="shared" si="290"/>
        <v/>
      </c>
      <c r="K990" s="1921" t="str">
        <f t="shared" si="290"/>
        <v/>
      </c>
    </row>
    <row r="991" spans="1:11">
      <c r="A991" s="683" t="s">
        <v>3739</v>
      </c>
      <c r="B991" s="1921">
        <f t="shared" ref="B991:K991" si="291">IF(AND(B979=0,B980=0,B981=0,B982=0),"",-B978/(B979+B980+B981+B982))</f>
        <v>2.9370637441899774</v>
      </c>
      <c r="C991" s="1921">
        <f t="shared" si="291"/>
        <v>0</v>
      </c>
      <c r="D991" s="1921">
        <f t="shared" si="291"/>
        <v>0</v>
      </c>
      <c r="E991" s="1921">
        <f t="shared" si="291"/>
        <v>0</v>
      </c>
      <c r="F991" s="1921">
        <f t="shared" si="291"/>
        <v>0</v>
      </c>
      <c r="G991" s="1921">
        <f t="shared" si="291"/>
        <v>0</v>
      </c>
      <c r="H991" s="1921">
        <f t="shared" si="291"/>
        <v>0</v>
      </c>
      <c r="I991" s="1921">
        <f t="shared" si="291"/>
        <v>0</v>
      </c>
      <c r="J991" s="1921">
        <f t="shared" si="291"/>
        <v>0</v>
      </c>
      <c r="K991" s="1921">
        <f t="shared" si="291"/>
        <v>0</v>
      </c>
    </row>
    <row r="992" spans="1:11">
      <c r="A992" s="683" t="s">
        <v>778</v>
      </c>
      <c r="B992" s="1922">
        <f t="shared" ref="B992:K992" si="292">IF(OR(B976="Choose mgt fee",B976="Choose One!"),"",(B970+B971+B972+B973+B974) / -(B975+B976+B977))</f>
        <v>1.6250753839457386</v>
      </c>
      <c r="C992" s="1922" t="e">
        <f t="shared" si="292"/>
        <v>#DIV/0!</v>
      </c>
      <c r="D992" s="1922" t="e">
        <f t="shared" si="292"/>
        <v>#DIV/0!</v>
      </c>
      <c r="E992" s="1922" t="e">
        <f t="shared" si="292"/>
        <v>#DIV/0!</v>
      </c>
      <c r="F992" s="1922" t="e">
        <f t="shared" si="292"/>
        <v>#DIV/0!</v>
      </c>
      <c r="G992" s="1922" t="e">
        <f t="shared" si="292"/>
        <v>#DIV/0!</v>
      </c>
      <c r="H992" s="1922" t="e">
        <f t="shared" si="292"/>
        <v>#DIV/0!</v>
      </c>
      <c r="I992" s="1922" t="e">
        <f t="shared" si="292"/>
        <v>#DIV/0!</v>
      </c>
      <c r="J992" s="1922" t="e">
        <f t="shared" si="292"/>
        <v>#DIV/0!</v>
      </c>
      <c r="K992" s="1922" t="e">
        <f t="shared" si="292"/>
        <v>#DIV/0!</v>
      </c>
    </row>
    <row r="993" spans="1:11">
      <c r="A993" s="683" t="s">
        <v>2634</v>
      </c>
      <c r="B993" s="1920">
        <f>'Part VII-Pro Forma'!B37</f>
        <v>1365589.6383641956</v>
      </c>
      <c r="C993" s="1920">
        <f>'Part VII-Pro Forma'!C37</f>
        <v>1330484.7257500051</v>
      </c>
      <c r="D993" s="1920">
        <f>'Part VII-Pro Forma'!D37</f>
        <v>1294671.2430934417</v>
      </c>
      <c r="E993" s="1920">
        <f>'Part VII-Pro Forma'!E37</f>
        <v>1258134.8883647448</v>
      </c>
      <c r="F993" s="1920">
        <f>'Part VII-Pro Forma'!F37</f>
        <v>1220861.0708568986</v>
      </c>
      <c r="G993" s="1920">
        <f>'Part VII-Pro Forma'!G37</f>
        <v>1182834.9053588663</v>
      </c>
      <c r="H993" s="1920">
        <f>'Part VII-Pro Forma'!H37</f>
        <v>1144041.2062112181</v>
      </c>
      <c r="I993" s="1920">
        <f>'Part VII-Pro Forma'!I37</f>
        <v>1104464.4812417726</v>
      </c>
      <c r="J993" s="1920">
        <f>'Part VII-Pro Forma'!J37</f>
        <v>1064088.925578835</v>
      </c>
      <c r="K993" s="1920">
        <f>'Part VII-Pro Forma'!K37</f>
        <v>1022898.4153395585</v>
      </c>
    </row>
    <row r="994" spans="1:11">
      <c r="A994" s="683" t="s">
        <v>2635</v>
      </c>
      <c r="B994" s="1920" t="str">
        <f>'Part VII-Pro Forma'!B38</f>
        <v/>
      </c>
      <c r="C994" s="1920" t="str">
        <f>'Part VII-Pro Forma'!C38</f>
        <v/>
      </c>
      <c r="D994" s="1920" t="str">
        <f>'Part VII-Pro Forma'!D38</f>
        <v/>
      </c>
      <c r="E994" s="1920" t="str">
        <f>'Part VII-Pro Forma'!E38</f>
        <v/>
      </c>
      <c r="F994" s="1920" t="str">
        <f>'Part VII-Pro Forma'!F38</f>
        <v/>
      </c>
      <c r="G994" s="1920" t="str">
        <f>'Part VII-Pro Forma'!G38</f>
        <v/>
      </c>
      <c r="H994" s="1920" t="str">
        <f>'Part VII-Pro Forma'!H38</f>
        <v/>
      </c>
      <c r="I994" s="1920" t="str">
        <f>'Part VII-Pro Forma'!I38</f>
        <v/>
      </c>
      <c r="J994" s="1920" t="str">
        <f>'Part VII-Pro Forma'!J38</f>
        <v/>
      </c>
      <c r="K994" s="1920" t="str">
        <f>'Part VII-Pro Forma'!K38</f>
        <v/>
      </c>
    </row>
    <row r="995" spans="1:11">
      <c r="A995" s="683" t="s">
        <v>2636</v>
      </c>
      <c r="B995" s="1920" t="str">
        <f>'Part VII-Pro Forma'!B39</f>
        <v/>
      </c>
      <c r="C995" s="1920" t="str">
        <f>'Part VII-Pro Forma'!C39</f>
        <v/>
      </c>
      <c r="D995" s="1920" t="str">
        <f>'Part VII-Pro Forma'!D39</f>
        <v/>
      </c>
      <c r="E995" s="1920" t="str">
        <f>'Part VII-Pro Forma'!E39</f>
        <v/>
      </c>
      <c r="F995" s="1920" t="str">
        <f>'Part VII-Pro Forma'!F39</f>
        <v/>
      </c>
      <c r="G995" s="1920" t="str">
        <f>'Part VII-Pro Forma'!G39</f>
        <v/>
      </c>
      <c r="H995" s="1920" t="str">
        <f>'Part VII-Pro Forma'!H39</f>
        <v/>
      </c>
      <c r="I995" s="1920" t="str">
        <f>'Part VII-Pro Forma'!I39</f>
        <v/>
      </c>
      <c r="J995" s="1920" t="str">
        <f>'Part VII-Pro Forma'!J39</f>
        <v/>
      </c>
      <c r="K995" s="1920" t="str">
        <f>'Part VII-Pro Forma'!K39</f>
        <v/>
      </c>
    </row>
    <row r="996" spans="1:11">
      <c r="A996" s="683" t="s">
        <v>792</v>
      </c>
      <c r="B996" s="1920" t="str">
        <f>'Part VII-Pro Forma'!B40</f>
        <v/>
      </c>
      <c r="C996" s="1920" t="str">
        <f>'Part VII-Pro Forma'!C40</f>
        <v/>
      </c>
      <c r="D996" s="1920" t="str">
        <f>'Part VII-Pro Forma'!D40</f>
        <v/>
      </c>
      <c r="E996" s="1920" t="str">
        <f>'Part VII-Pro Forma'!E40</f>
        <v/>
      </c>
      <c r="F996" s="1920" t="str">
        <f>'Part VII-Pro Forma'!F40</f>
        <v/>
      </c>
      <c r="G996" s="1920" t="str">
        <f>'Part VII-Pro Forma'!G40</f>
        <v/>
      </c>
      <c r="H996" s="1920" t="str">
        <f>'Part VII-Pro Forma'!H40</f>
        <v/>
      </c>
      <c r="I996" s="1920" t="str">
        <f>'Part VII-Pro Forma'!I40</f>
        <v/>
      </c>
      <c r="J996" s="1920" t="str">
        <f>'Part VII-Pro Forma'!J40</f>
        <v/>
      </c>
      <c r="K996" s="1920" t="str">
        <f>'Part VII-Pro Forma'!K40</f>
        <v/>
      </c>
    </row>
    <row r="997" spans="1:11">
      <c r="A997" s="683" t="s">
        <v>4128</v>
      </c>
      <c r="B997" s="1920" t="str">
        <f>'Part VII-Pro Forma'!B41</f>
        <v/>
      </c>
      <c r="C997" s="1920" t="str">
        <f>'Part VII-Pro Forma'!C41</f>
        <v/>
      </c>
      <c r="D997" s="1920" t="str">
        <f>'Part VII-Pro Forma'!D41</f>
        <v/>
      </c>
      <c r="E997" s="1920" t="str">
        <f>'Part VII-Pro Forma'!E41</f>
        <v/>
      </c>
      <c r="F997" s="1920" t="str">
        <f>'Part VII-Pro Forma'!F41</f>
        <v/>
      </c>
      <c r="G997" s="1920" t="str">
        <f>'Part VII-Pro Forma'!G41</f>
        <v/>
      </c>
      <c r="H997" s="1920" t="str">
        <f>'Part VII-Pro Forma'!H41</f>
        <v/>
      </c>
      <c r="I997" s="1920" t="str">
        <f>'Part VII-Pro Forma'!I41</f>
        <v/>
      </c>
      <c r="J997" s="1920" t="str">
        <f>'Part VII-Pro Forma'!J41</f>
        <v/>
      </c>
      <c r="K997" s="1920" t="str">
        <f>'Part VII-Pro Forma'!K41</f>
        <v/>
      </c>
    </row>
    <row r="998" spans="1:11">
      <c r="B998" s="1920"/>
      <c r="C998" s="1920"/>
      <c r="D998" s="1920"/>
      <c r="E998" s="1920"/>
      <c r="F998" s="1920"/>
      <c r="G998" s="1920"/>
      <c r="H998" s="1920"/>
      <c r="I998" s="1920"/>
      <c r="J998" s="1920"/>
      <c r="K998" s="1920"/>
    </row>
    <row r="999" spans="1:11">
      <c r="A999" s="1821" t="s">
        <v>2496</v>
      </c>
      <c r="B999" s="1923">
        <f>K969+1</f>
        <v>11</v>
      </c>
      <c r="C999" s="1923">
        <f t="shared" ref="C999:K999" si="293">B999+1</f>
        <v>12</v>
      </c>
      <c r="D999" s="1923">
        <f t="shared" si="293"/>
        <v>13</v>
      </c>
      <c r="E999" s="1923">
        <f t="shared" si="293"/>
        <v>14</v>
      </c>
      <c r="F999" s="1923">
        <f t="shared" si="293"/>
        <v>15</v>
      </c>
      <c r="G999" s="1923">
        <f t="shared" si="293"/>
        <v>16</v>
      </c>
      <c r="H999" s="1923">
        <f t="shared" si="293"/>
        <v>17</v>
      </c>
      <c r="I999" s="1923">
        <f t="shared" si="293"/>
        <v>18</v>
      </c>
      <c r="J999" s="1923">
        <f t="shared" si="293"/>
        <v>19</v>
      </c>
      <c r="K999" s="1923">
        <f t="shared" si="293"/>
        <v>20</v>
      </c>
    </row>
    <row r="1000" spans="1:11">
      <c r="A1000" s="683" t="s">
        <v>2420</v>
      </c>
      <c r="B1000" s="1920">
        <f t="shared" ref="B1000:K1000" si="294">$B$14*(1+$B$5)^(B999-1)</f>
        <v>0</v>
      </c>
      <c r="C1000" s="1920">
        <f t="shared" si="294"/>
        <v>0</v>
      </c>
      <c r="D1000" s="1920">
        <f t="shared" si="294"/>
        <v>0</v>
      </c>
      <c r="E1000" s="1920">
        <f t="shared" si="294"/>
        <v>0</v>
      </c>
      <c r="F1000" s="1920">
        <f t="shared" si="294"/>
        <v>0</v>
      </c>
      <c r="G1000" s="1920">
        <f t="shared" si="294"/>
        <v>0</v>
      </c>
      <c r="H1000" s="1920">
        <f t="shared" si="294"/>
        <v>0</v>
      </c>
      <c r="I1000" s="1920">
        <f t="shared" si="294"/>
        <v>0</v>
      </c>
      <c r="J1000" s="1920">
        <f t="shared" si="294"/>
        <v>0</v>
      </c>
      <c r="K1000" s="1920">
        <f t="shared" si="294"/>
        <v>0</v>
      </c>
    </row>
    <row r="1001" spans="1:11">
      <c r="A1001" s="683" t="s">
        <v>1026</v>
      </c>
      <c r="B1001" s="1920">
        <f t="shared" ref="B1001:K1001" si="295">$B$15*(1+$B$5)^(B999-1)</f>
        <v>0</v>
      </c>
      <c r="C1001" s="1920">
        <f t="shared" si="295"/>
        <v>0</v>
      </c>
      <c r="D1001" s="1920">
        <f t="shared" si="295"/>
        <v>0</v>
      </c>
      <c r="E1001" s="1920">
        <f t="shared" si="295"/>
        <v>0</v>
      </c>
      <c r="F1001" s="1920">
        <f t="shared" si="295"/>
        <v>0</v>
      </c>
      <c r="G1001" s="1920">
        <f t="shared" si="295"/>
        <v>0</v>
      </c>
      <c r="H1001" s="1920">
        <f t="shared" si="295"/>
        <v>0</v>
      </c>
      <c r="I1001" s="1920">
        <f t="shared" si="295"/>
        <v>0</v>
      </c>
      <c r="J1001" s="1920">
        <f t="shared" si="295"/>
        <v>0</v>
      </c>
      <c r="K1001" s="1920">
        <f t="shared" si="295"/>
        <v>0</v>
      </c>
    </row>
    <row r="1002" spans="1:11">
      <c r="A1002" s="683" t="s">
        <v>2421</v>
      </c>
      <c r="B1002" s="1920">
        <f t="shared" ref="B1002:K1002" si="296">-(B1000+B1001)*$B$8</f>
        <v>0</v>
      </c>
      <c r="C1002" s="1920">
        <f t="shared" si="296"/>
        <v>0</v>
      </c>
      <c r="D1002" s="1920">
        <f t="shared" si="296"/>
        <v>0</v>
      </c>
      <c r="E1002" s="1920">
        <f t="shared" si="296"/>
        <v>0</v>
      </c>
      <c r="F1002" s="1920">
        <f t="shared" si="296"/>
        <v>0</v>
      </c>
      <c r="G1002" s="1920">
        <f t="shared" si="296"/>
        <v>0</v>
      </c>
      <c r="H1002" s="1920">
        <f t="shared" si="296"/>
        <v>0</v>
      </c>
      <c r="I1002" s="1920">
        <f t="shared" si="296"/>
        <v>0</v>
      </c>
      <c r="J1002" s="1920">
        <f t="shared" si="296"/>
        <v>0</v>
      </c>
      <c r="K1002" s="1920">
        <f t="shared" si="296"/>
        <v>0</v>
      </c>
    </row>
    <row r="1003" spans="1:11">
      <c r="A1003" s="683" t="s">
        <v>53</v>
      </c>
      <c r="B1003" s="1920">
        <f>'Part VI-Revenues &amp; Expenses'!G1093</f>
        <v>0</v>
      </c>
      <c r="C1003" s="1920">
        <f>'Part VI-Revenues &amp; Expenses'!H1093</f>
        <v>0</v>
      </c>
      <c r="D1003" s="1920">
        <f>'Part VI-Revenues &amp; Expenses'!I1093</f>
        <v>0</v>
      </c>
      <c r="E1003" s="1920">
        <f>'Part VI-Revenues &amp; Expenses'!J1093</f>
        <v>0</v>
      </c>
      <c r="F1003" s="1920">
        <f>'Part VI-Revenues &amp; Expenses'!K1093</f>
        <v>0</v>
      </c>
      <c r="G1003" s="1920">
        <f>'Part VI-Revenues &amp; Expenses'!L1093</f>
        <v>0</v>
      </c>
      <c r="H1003" s="1920">
        <f>'Part VI-Revenues &amp; Expenses'!M1093</f>
        <v>0</v>
      </c>
      <c r="I1003" s="1920">
        <f>'Part VI-Revenues &amp; Expenses'!N1093</f>
        <v>0</v>
      </c>
      <c r="J1003" s="1920">
        <f>'Part VI-Revenues &amp; Expenses'!O1093</f>
        <v>0</v>
      </c>
      <c r="K1003" s="1920">
        <f>'Part VI-Revenues &amp; Expenses'!P1093</f>
        <v>0</v>
      </c>
    </row>
    <row r="1004" spans="1:11">
      <c r="A1004" s="683" t="s">
        <v>54</v>
      </c>
      <c r="B1004" s="1920">
        <f>'Part VI-Revenues &amp; Expenses'!G1097</f>
        <v>0</v>
      </c>
      <c r="C1004" s="1920">
        <f>'Part VI-Revenues &amp; Expenses'!H1097</f>
        <v>0</v>
      </c>
      <c r="D1004" s="1920">
        <f>'Part VI-Revenues &amp; Expenses'!I1097</f>
        <v>0</v>
      </c>
      <c r="E1004" s="1920">
        <f>'Part VI-Revenues &amp; Expenses'!J1097</f>
        <v>0</v>
      </c>
      <c r="F1004" s="1920">
        <f>'Part VI-Revenues &amp; Expenses'!K1097</f>
        <v>0</v>
      </c>
      <c r="G1004" s="1920">
        <f>'Part VI-Revenues &amp; Expenses'!L1097</f>
        <v>0</v>
      </c>
      <c r="H1004" s="1920">
        <f>'Part VI-Revenues &amp; Expenses'!M1097</f>
        <v>0</v>
      </c>
      <c r="I1004" s="1920">
        <f>'Part VI-Revenues &amp; Expenses'!N1097</f>
        <v>0</v>
      </c>
      <c r="J1004" s="1920">
        <f>'Part VI-Revenues &amp; Expenses'!O1097</f>
        <v>0</v>
      </c>
      <c r="K1004" s="1920">
        <f>'Part VI-Revenues &amp; Expenses'!P1097</f>
        <v>0</v>
      </c>
    </row>
    <row r="1005" spans="1:11">
      <c r="A1005" s="683" t="s">
        <v>620</v>
      </c>
      <c r="B1005" s="1920">
        <f t="shared" ref="B1005:K1005" si="297">$B$19*(1+$B$6)^(B999-1)</f>
        <v>0</v>
      </c>
      <c r="C1005" s="1920">
        <f t="shared" si="297"/>
        <v>0</v>
      </c>
      <c r="D1005" s="1920">
        <f t="shared" si="297"/>
        <v>0</v>
      </c>
      <c r="E1005" s="1920">
        <f t="shared" si="297"/>
        <v>0</v>
      </c>
      <c r="F1005" s="1920">
        <f t="shared" si="297"/>
        <v>0</v>
      </c>
      <c r="G1005" s="1920">
        <f t="shared" si="297"/>
        <v>0</v>
      </c>
      <c r="H1005" s="1920">
        <f t="shared" si="297"/>
        <v>0</v>
      </c>
      <c r="I1005" s="1920">
        <f t="shared" si="297"/>
        <v>0</v>
      </c>
      <c r="J1005" s="1920">
        <f t="shared" si="297"/>
        <v>0</v>
      </c>
      <c r="K1005" s="1920">
        <f t="shared" si="297"/>
        <v>0</v>
      </c>
    </row>
    <row r="1006" spans="1:11">
      <c r="A1006" s="683" t="s">
        <v>1125</v>
      </c>
      <c r="B1006" s="1920">
        <f>IF(AND('Part VII-Pro Forma'!$G$8="Yes",'Part VII-Pro Forma'!$G$9="Yes"),"Choose One!",IF('Part VII-Pro Forma'!$G$8="Yes",ROUND((-$K$8*(1+'Part VII-Pro Forma'!$B$6)^('Part VII-Pro Forma'!B999-1)),),IF('Part VII-Pro Forma'!$G$9="Yes",ROUND((-(SUM(B1000:B1003)*'Part VII-Pro Forma'!$K$9)),),"Choose mgt fee")))</f>
        <v>0</v>
      </c>
      <c r="C1006" s="1920">
        <f>IF(AND('Part VII-Pro Forma'!$G$8="Yes",'Part VII-Pro Forma'!$G$9="Yes"),"Choose One!",IF('Part VII-Pro Forma'!$G$8="Yes",ROUND((-$K$8*(1+'Part VII-Pro Forma'!$B$6)^('Part VII-Pro Forma'!C999-1)),),IF('Part VII-Pro Forma'!$G$9="Yes",ROUND((-(SUM(C1000:C1003)*'Part VII-Pro Forma'!$K$9)),),"Choose mgt fee")))</f>
        <v>0</v>
      </c>
      <c r="D1006" s="1920">
        <f>IF(AND('Part VII-Pro Forma'!$G$8="Yes",'Part VII-Pro Forma'!$G$9="Yes"),"Choose One!",IF('Part VII-Pro Forma'!$G$8="Yes",ROUND((-$K$8*(1+'Part VII-Pro Forma'!$B$6)^('Part VII-Pro Forma'!D999-1)),),IF('Part VII-Pro Forma'!$G$9="Yes",ROUND((-(SUM(D1000:D1003)*'Part VII-Pro Forma'!$K$9)),),"Choose mgt fee")))</f>
        <v>0</v>
      </c>
      <c r="E1006" s="1920">
        <f>IF(AND('Part VII-Pro Forma'!$G$8="Yes",'Part VII-Pro Forma'!$G$9="Yes"),"Choose One!",IF('Part VII-Pro Forma'!$G$8="Yes",ROUND((-$K$8*(1+'Part VII-Pro Forma'!$B$6)^('Part VII-Pro Forma'!E999-1)),),IF('Part VII-Pro Forma'!$G$9="Yes",ROUND((-(SUM(E1000:E1003)*'Part VII-Pro Forma'!$K$9)),),"Choose mgt fee")))</f>
        <v>0</v>
      </c>
      <c r="F1006" s="1920">
        <f>IF(AND('Part VII-Pro Forma'!$G$8="Yes",'Part VII-Pro Forma'!$G$9="Yes"),"Choose One!",IF('Part VII-Pro Forma'!$G$8="Yes",ROUND((-$K$8*(1+'Part VII-Pro Forma'!$B$6)^('Part VII-Pro Forma'!F999-1)),),IF('Part VII-Pro Forma'!$G$9="Yes",ROUND((-(SUM(F1000:F1003)*'Part VII-Pro Forma'!$K$9)),),"Choose mgt fee")))</f>
        <v>0</v>
      </c>
      <c r="G1006" s="1920">
        <f>IF(AND('Part VII-Pro Forma'!$G$8="Yes",'Part VII-Pro Forma'!$G$9="Yes"),"Choose One!",IF('Part VII-Pro Forma'!$G$8="Yes",ROUND((-$K$8*(1+'Part VII-Pro Forma'!$B$6)^('Part VII-Pro Forma'!G999-1)),),IF('Part VII-Pro Forma'!$G$9="Yes",ROUND((-(SUM(G1000:G1003)*'Part VII-Pro Forma'!$K$9)),),"Choose mgt fee")))</f>
        <v>0</v>
      </c>
      <c r="H1006" s="1920">
        <f>IF(AND('Part VII-Pro Forma'!$G$8="Yes",'Part VII-Pro Forma'!$G$9="Yes"),"Choose One!",IF('Part VII-Pro Forma'!$G$8="Yes",ROUND((-$K$8*(1+'Part VII-Pro Forma'!$B$6)^('Part VII-Pro Forma'!H999-1)),),IF('Part VII-Pro Forma'!$G$9="Yes",ROUND((-(SUM(H1000:H1003)*'Part VII-Pro Forma'!$K$9)),),"Choose mgt fee")))</f>
        <v>0</v>
      </c>
      <c r="I1006" s="1920">
        <f>IF(AND('Part VII-Pro Forma'!$G$8="Yes",'Part VII-Pro Forma'!$G$9="Yes"),"Choose One!",IF('Part VII-Pro Forma'!$G$8="Yes",ROUND((-$K$8*(1+'Part VII-Pro Forma'!$B$6)^('Part VII-Pro Forma'!I999-1)),),IF('Part VII-Pro Forma'!$G$9="Yes",ROUND((-(SUM(I1000:I1003)*'Part VII-Pro Forma'!$K$9)),),"Choose mgt fee")))</f>
        <v>0</v>
      </c>
      <c r="J1006" s="1920">
        <f>IF(AND('Part VII-Pro Forma'!$G$8="Yes",'Part VII-Pro Forma'!$G$9="Yes"),"Choose One!",IF('Part VII-Pro Forma'!$G$8="Yes",ROUND((-$K$8*(1+'Part VII-Pro Forma'!$B$6)^('Part VII-Pro Forma'!J999-1)),),IF('Part VII-Pro Forma'!$G$9="Yes",ROUND((-(SUM(J1000:J1003)*'Part VII-Pro Forma'!$K$9)),),"Choose mgt fee")))</f>
        <v>0</v>
      </c>
      <c r="K1006" s="1920">
        <f>IF(AND('Part VII-Pro Forma'!$G$8="Yes",'Part VII-Pro Forma'!$G$9="Yes"),"Choose One!",IF('Part VII-Pro Forma'!$G$8="Yes",ROUND((-$K$8*(1+'Part VII-Pro Forma'!$B$6)^('Part VII-Pro Forma'!K999-1)),),IF('Part VII-Pro Forma'!$G$9="Yes",ROUND((-(SUM(K1000:K1003)*'Part VII-Pro Forma'!$K$9)),),"Choose mgt fee")))</f>
        <v>0</v>
      </c>
    </row>
    <row r="1007" spans="1:11">
      <c r="A1007" s="683" t="s">
        <v>1214</v>
      </c>
      <c r="B1007" s="1920">
        <f t="shared" ref="B1007:K1007" si="298">$B$21*(1+$B$7)^(B999-1)</f>
        <v>0</v>
      </c>
      <c r="C1007" s="1920">
        <f t="shared" si="298"/>
        <v>0</v>
      </c>
      <c r="D1007" s="1920">
        <f t="shared" si="298"/>
        <v>0</v>
      </c>
      <c r="E1007" s="1920">
        <f t="shared" si="298"/>
        <v>0</v>
      </c>
      <c r="F1007" s="1920">
        <f t="shared" si="298"/>
        <v>0</v>
      </c>
      <c r="G1007" s="1920">
        <f t="shared" si="298"/>
        <v>0</v>
      </c>
      <c r="H1007" s="1920">
        <f t="shared" si="298"/>
        <v>0</v>
      </c>
      <c r="I1007" s="1920">
        <f t="shared" si="298"/>
        <v>0</v>
      </c>
      <c r="J1007" s="1920">
        <f t="shared" si="298"/>
        <v>0</v>
      </c>
      <c r="K1007" s="1920">
        <f t="shared" si="298"/>
        <v>0</v>
      </c>
    </row>
    <row r="1008" spans="1:11">
      <c r="A1008" s="683" t="s">
        <v>1215</v>
      </c>
      <c r="B1008" s="1920">
        <f t="shared" ref="B1008:K1008" si="299">SUM(B1000:B1007)</f>
        <v>0</v>
      </c>
      <c r="C1008" s="1920">
        <f t="shared" si="299"/>
        <v>0</v>
      </c>
      <c r="D1008" s="1920">
        <f t="shared" si="299"/>
        <v>0</v>
      </c>
      <c r="E1008" s="1920">
        <f t="shared" si="299"/>
        <v>0</v>
      </c>
      <c r="F1008" s="1920">
        <f t="shared" si="299"/>
        <v>0</v>
      </c>
      <c r="G1008" s="1920">
        <f t="shared" si="299"/>
        <v>0</v>
      </c>
      <c r="H1008" s="1920">
        <f t="shared" si="299"/>
        <v>0</v>
      </c>
      <c r="I1008" s="1920">
        <f t="shared" si="299"/>
        <v>0</v>
      </c>
      <c r="J1008" s="1920">
        <f t="shared" si="299"/>
        <v>0</v>
      </c>
      <c r="K1008" s="1920">
        <f t="shared" si="299"/>
        <v>0</v>
      </c>
    </row>
    <row r="1009" spans="1:11">
      <c r="A1009" s="683" t="str">
        <f>$A979</f>
        <v>Mortgage A</v>
      </c>
      <c r="B1009" s="1920">
        <f>'Part VII-Pro Forma'!B53</f>
        <v>-62096.071411721852</v>
      </c>
      <c r="C1009" s="1920">
        <f>'Part VII-Pro Forma'!C53</f>
        <v>-62096.071411721852</v>
      </c>
      <c r="D1009" s="1920">
        <f>'Part VII-Pro Forma'!D53</f>
        <v>-62096.071411721852</v>
      </c>
      <c r="E1009" s="1920">
        <f>'Part VII-Pro Forma'!E53</f>
        <v>-62096.071411721852</v>
      </c>
      <c r="F1009" s="1920">
        <f>'Part VII-Pro Forma'!F53</f>
        <v>-62096.071411721852</v>
      </c>
      <c r="G1009" s="1920">
        <f>'Part VII-Pro Forma'!G53</f>
        <v>-62096.071411721852</v>
      </c>
      <c r="H1009" s="1920">
        <f>'Part VII-Pro Forma'!H53</f>
        <v>-62096.071411721852</v>
      </c>
      <c r="I1009" s="1920">
        <f>'Part VII-Pro Forma'!I53</f>
        <v>-62096.071411721852</v>
      </c>
      <c r="J1009" s="1920">
        <f>'Part VII-Pro Forma'!J53</f>
        <v>-62096.071411721852</v>
      </c>
      <c r="K1009" s="1920">
        <f>'Part VII-Pro Forma'!K53</f>
        <v>-62096.071411721852</v>
      </c>
    </row>
    <row r="1010" spans="1:11">
      <c r="A1010" s="683" t="str">
        <f>$A980</f>
        <v>Mortgage B</v>
      </c>
      <c r="B1010" s="1920">
        <f>'Part VII-Pro Forma'!B54</f>
        <v>0</v>
      </c>
      <c r="C1010" s="1920">
        <f>'Part VII-Pro Forma'!C54</f>
        <v>0</v>
      </c>
      <c r="D1010" s="1920">
        <f>'Part VII-Pro Forma'!D54</f>
        <v>0</v>
      </c>
      <c r="E1010" s="1920">
        <f>'Part VII-Pro Forma'!E54</f>
        <v>0</v>
      </c>
      <c r="F1010" s="1920">
        <f>'Part VII-Pro Forma'!F54</f>
        <v>0</v>
      </c>
      <c r="G1010" s="1920">
        <f>'Part VII-Pro Forma'!G54</f>
        <v>0</v>
      </c>
      <c r="H1010" s="1920">
        <f>'Part VII-Pro Forma'!H54</f>
        <v>0</v>
      </c>
      <c r="I1010" s="1920">
        <f>'Part VII-Pro Forma'!I54</f>
        <v>0</v>
      </c>
      <c r="J1010" s="1920">
        <f>'Part VII-Pro Forma'!J54</f>
        <v>0</v>
      </c>
      <c r="K1010" s="1920">
        <f>'Part VII-Pro Forma'!K54</f>
        <v>0</v>
      </c>
    </row>
    <row r="1011" spans="1:11">
      <c r="A1011" s="683" t="str">
        <f>$A981</f>
        <v>Mortgage C</v>
      </c>
      <c r="B1011" s="1920">
        <f>'Part VII-Pro Forma'!B55</f>
        <v>0</v>
      </c>
      <c r="C1011" s="1920">
        <f>'Part VII-Pro Forma'!C55</f>
        <v>0</v>
      </c>
      <c r="D1011" s="1920">
        <f>'Part VII-Pro Forma'!D55</f>
        <v>0</v>
      </c>
      <c r="E1011" s="1920">
        <f>'Part VII-Pro Forma'!E55</f>
        <v>0</v>
      </c>
      <c r="F1011" s="1920">
        <f>'Part VII-Pro Forma'!F55</f>
        <v>0</v>
      </c>
      <c r="G1011" s="1920">
        <f>'Part VII-Pro Forma'!G55</f>
        <v>0</v>
      </c>
      <c r="H1011" s="1920">
        <f>'Part VII-Pro Forma'!H55</f>
        <v>0</v>
      </c>
      <c r="I1011" s="1920">
        <f>'Part VII-Pro Forma'!I55</f>
        <v>0</v>
      </c>
      <c r="J1011" s="1920">
        <f>'Part VII-Pro Forma'!J55</f>
        <v>0</v>
      </c>
      <c r="K1011" s="1920">
        <f>'Part VII-Pro Forma'!K55</f>
        <v>0</v>
      </c>
    </row>
    <row r="1012" spans="1:11">
      <c r="A1012" s="683" t="str">
        <f>$A982</f>
        <v>D/S Other Source,not DDF</v>
      </c>
      <c r="B1012" s="1920">
        <f>'Part VII-Pro Forma'!B56</f>
        <v>0</v>
      </c>
      <c r="C1012" s="1920">
        <f>'Part VII-Pro Forma'!C56</f>
        <v>0</v>
      </c>
      <c r="D1012" s="1920">
        <f>'Part VII-Pro Forma'!D56</f>
        <v>0</v>
      </c>
      <c r="E1012" s="1920">
        <f>'Part VII-Pro Forma'!E56</f>
        <v>0</v>
      </c>
      <c r="F1012" s="1920">
        <f>'Part VII-Pro Forma'!F56</f>
        <v>0</v>
      </c>
      <c r="G1012" s="1920">
        <f>'Part VII-Pro Forma'!G56</f>
        <v>0</v>
      </c>
      <c r="H1012" s="1920">
        <f>'Part VII-Pro Forma'!H56</f>
        <v>0</v>
      </c>
      <c r="I1012" s="1920">
        <f>'Part VII-Pro Forma'!I56</f>
        <v>0</v>
      </c>
      <c r="J1012" s="1920">
        <f>'Part VII-Pro Forma'!J56</f>
        <v>0</v>
      </c>
      <c r="K1012" s="1920">
        <f>'Part VII-Pro Forma'!K56</f>
        <v>0</v>
      </c>
    </row>
    <row r="1013" spans="1:11">
      <c r="A1013" s="683" t="s">
        <v>771</v>
      </c>
      <c r="B1013" s="1920">
        <f>'Part VII-Pro Forma'!B57</f>
        <v>0</v>
      </c>
      <c r="C1013" s="1920">
        <f>'Part VII-Pro Forma'!C57</f>
        <v>0</v>
      </c>
      <c r="D1013" s="1920">
        <f>'Part VII-Pro Forma'!D57</f>
        <v>0</v>
      </c>
      <c r="E1013" s="1920">
        <f>'Part VII-Pro Forma'!E57</f>
        <v>0</v>
      </c>
      <c r="F1013" s="1920">
        <f>'Part VII-Pro Forma'!F57</f>
        <v>0</v>
      </c>
      <c r="G1013" s="1920">
        <f>'Part VII-Pro Forma'!G57</f>
        <v>0</v>
      </c>
      <c r="H1013" s="1920">
        <f>'Part VII-Pro Forma'!H57</f>
        <v>0</v>
      </c>
      <c r="I1013" s="1920">
        <f>'Part VII-Pro Forma'!I57</f>
        <v>0</v>
      </c>
      <c r="J1013" s="1920">
        <f>'Part VII-Pro Forma'!J57</f>
        <v>0</v>
      </c>
      <c r="K1013" s="1920">
        <f>'Part VII-Pro Forma'!K57</f>
        <v>0</v>
      </c>
    </row>
    <row r="1014" spans="1:11">
      <c r="A1014" s="683" t="s">
        <v>1174</v>
      </c>
      <c r="B1014" s="1920">
        <f>'Part VII-Pro Forma'!B58</f>
        <v>-12500</v>
      </c>
      <c r="C1014" s="1920">
        <f>'Part VII-Pro Forma'!C58</f>
        <v>-12500</v>
      </c>
      <c r="D1014" s="1920">
        <f>'Part VII-Pro Forma'!D58</f>
        <v>-12500</v>
      </c>
      <c r="E1014" s="1920">
        <f>'Part VII-Pro Forma'!E58</f>
        <v>-12500</v>
      </c>
      <c r="F1014" s="1920">
        <f>'Part VII-Pro Forma'!F58</f>
        <v>-12500</v>
      </c>
      <c r="G1014" s="1920">
        <f>'Part VII-Pro Forma'!G58</f>
        <v>-12500</v>
      </c>
      <c r="H1014" s="1920">
        <f>'Part VII-Pro Forma'!H58</f>
        <v>-12500</v>
      </c>
      <c r="I1014" s="1920">
        <f>'Part VII-Pro Forma'!I58</f>
        <v>-12500</v>
      </c>
      <c r="J1014" s="1920">
        <f>'Part VII-Pro Forma'!J58</f>
        <v>-12500</v>
      </c>
      <c r="K1014" s="1920">
        <f>'Part VII-Pro Forma'!K58</f>
        <v>-12500</v>
      </c>
    </row>
    <row r="1015" spans="1:11">
      <c r="A1015" s="683" t="s">
        <v>4127</v>
      </c>
      <c r="B1015" s="1920">
        <f>'Part VII-Pro Forma'!B59</f>
        <v>0</v>
      </c>
      <c r="C1015" s="1920">
        <f>'Part VII-Pro Forma'!C59</f>
        <v>0</v>
      </c>
      <c r="D1015" s="1920">
        <f>'Part VII-Pro Forma'!D59</f>
        <v>0</v>
      </c>
      <c r="E1015" s="1920">
        <f>'Part VII-Pro Forma'!E59</f>
        <v>0</v>
      </c>
      <c r="F1015" s="1920">
        <f>'Part VII-Pro Forma'!F59</f>
        <v>0</v>
      </c>
      <c r="G1015" s="1920">
        <f>'Part VII-Pro Forma'!G59</f>
        <v>0</v>
      </c>
      <c r="H1015" s="1920">
        <f>'Part VII-Pro Forma'!H59</f>
        <v>0</v>
      </c>
      <c r="I1015" s="1920">
        <f>'Part VII-Pro Forma'!I59</f>
        <v>0</v>
      </c>
      <c r="J1015" s="1920">
        <f>'Part VII-Pro Forma'!J59</f>
        <v>0</v>
      </c>
      <c r="K1015" s="1920">
        <f>'Part VII-Pro Forma'!K59</f>
        <v>0</v>
      </c>
    </row>
    <row r="1016" spans="1:11">
      <c r="A1016" s="683" t="s">
        <v>1175</v>
      </c>
      <c r="B1016" s="1920">
        <f>SUM(B1008:B1015)</f>
        <v>-74596.071411721845</v>
      </c>
      <c r="C1016" s="1920">
        <f t="shared" ref="C1016:K1016" si="300">SUM(C1008:C1015)</f>
        <v>-74596.071411721845</v>
      </c>
      <c r="D1016" s="1920">
        <f t="shared" si="300"/>
        <v>-74596.071411721845</v>
      </c>
      <c r="E1016" s="1920">
        <f t="shared" si="300"/>
        <v>-74596.071411721845</v>
      </c>
      <c r="F1016" s="1920">
        <f t="shared" si="300"/>
        <v>-74596.071411721845</v>
      </c>
      <c r="G1016" s="1920">
        <f t="shared" si="300"/>
        <v>-74596.071411721845</v>
      </c>
      <c r="H1016" s="1920">
        <f t="shared" si="300"/>
        <v>-74596.071411721845</v>
      </c>
      <c r="I1016" s="1920">
        <f t="shared" si="300"/>
        <v>-74596.071411721845</v>
      </c>
      <c r="J1016" s="1920">
        <f t="shared" si="300"/>
        <v>-74596.071411721845</v>
      </c>
      <c r="K1016" s="1920">
        <f t="shared" si="300"/>
        <v>-74596.071411721845</v>
      </c>
    </row>
    <row r="1017" spans="1:11">
      <c r="A1017" s="683" t="str">
        <f>$A987</f>
        <v>DCR Mortgage A</v>
      </c>
      <c r="B1017" s="1921">
        <f t="shared" ref="B1017:K1017" si="301">IF(B1009=0,"",-B1008/B1009)</f>
        <v>0</v>
      </c>
      <c r="C1017" s="1921">
        <f t="shared" si="301"/>
        <v>0</v>
      </c>
      <c r="D1017" s="1921">
        <f t="shared" si="301"/>
        <v>0</v>
      </c>
      <c r="E1017" s="1921">
        <f t="shared" si="301"/>
        <v>0</v>
      </c>
      <c r="F1017" s="1921">
        <f t="shared" si="301"/>
        <v>0</v>
      </c>
      <c r="G1017" s="1921">
        <f t="shared" si="301"/>
        <v>0</v>
      </c>
      <c r="H1017" s="1921">
        <f t="shared" si="301"/>
        <v>0</v>
      </c>
      <c r="I1017" s="1921">
        <f t="shared" si="301"/>
        <v>0</v>
      </c>
      <c r="J1017" s="1921">
        <f t="shared" si="301"/>
        <v>0</v>
      </c>
      <c r="K1017" s="1921">
        <f t="shared" si="301"/>
        <v>0</v>
      </c>
    </row>
    <row r="1018" spans="1:11">
      <c r="A1018" s="683" t="str">
        <f>$A988</f>
        <v>DCR Mortgage B</v>
      </c>
      <c r="B1018" s="1921" t="str">
        <f t="shared" ref="B1018:K1018" si="302">IF(B1010=0,"",-(B1008+B1009)/B1010)</f>
        <v/>
      </c>
      <c r="C1018" s="1921" t="str">
        <f t="shared" si="302"/>
        <v/>
      </c>
      <c r="D1018" s="1921" t="str">
        <f t="shared" si="302"/>
        <v/>
      </c>
      <c r="E1018" s="1921" t="str">
        <f t="shared" si="302"/>
        <v/>
      </c>
      <c r="F1018" s="1921" t="str">
        <f t="shared" si="302"/>
        <v/>
      </c>
      <c r="G1018" s="1921" t="str">
        <f t="shared" si="302"/>
        <v/>
      </c>
      <c r="H1018" s="1921" t="str">
        <f t="shared" si="302"/>
        <v/>
      </c>
      <c r="I1018" s="1921" t="str">
        <f t="shared" si="302"/>
        <v/>
      </c>
      <c r="J1018" s="1921" t="str">
        <f t="shared" si="302"/>
        <v/>
      </c>
      <c r="K1018" s="1921" t="str">
        <f t="shared" si="302"/>
        <v/>
      </c>
    </row>
    <row r="1019" spans="1:11">
      <c r="A1019" s="683" t="str">
        <f>$A989</f>
        <v>DCR Mortgage C</v>
      </c>
      <c r="B1019" s="1921" t="str">
        <f t="shared" ref="B1019:K1019" si="303">IF(B1011=0,"",-(B1008+B1009+B1010)/B1011)</f>
        <v/>
      </c>
      <c r="C1019" s="1921" t="str">
        <f t="shared" si="303"/>
        <v/>
      </c>
      <c r="D1019" s="1921" t="str">
        <f t="shared" si="303"/>
        <v/>
      </c>
      <c r="E1019" s="1921" t="str">
        <f t="shared" si="303"/>
        <v/>
      </c>
      <c r="F1019" s="1921" t="str">
        <f t="shared" si="303"/>
        <v/>
      </c>
      <c r="G1019" s="1921" t="str">
        <f t="shared" si="303"/>
        <v/>
      </c>
      <c r="H1019" s="1921" t="str">
        <f t="shared" si="303"/>
        <v/>
      </c>
      <c r="I1019" s="1921" t="str">
        <f t="shared" si="303"/>
        <v/>
      </c>
      <c r="J1019" s="1921" t="str">
        <f t="shared" si="303"/>
        <v/>
      </c>
      <c r="K1019" s="1921" t="str">
        <f t="shared" si="303"/>
        <v/>
      </c>
    </row>
    <row r="1020" spans="1:11">
      <c r="A1020" s="683" t="str">
        <f>$A990</f>
        <v>DCR Other Source</v>
      </c>
      <c r="B1020" s="1921" t="str">
        <f t="shared" ref="B1020:K1020" si="304">IF(B1012=0,"",-(B1008+B1009+B1010+B1011)/B1012)</f>
        <v/>
      </c>
      <c r="C1020" s="1921" t="str">
        <f t="shared" si="304"/>
        <v/>
      </c>
      <c r="D1020" s="1921" t="str">
        <f t="shared" si="304"/>
        <v/>
      </c>
      <c r="E1020" s="1921" t="str">
        <f t="shared" si="304"/>
        <v/>
      </c>
      <c r="F1020" s="1921" t="str">
        <f t="shared" si="304"/>
        <v/>
      </c>
      <c r="G1020" s="1921" t="str">
        <f t="shared" si="304"/>
        <v/>
      </c>
      <c r="H1020" s="1921" t="str">
        <f t="shared" si="304"/>
        <v/>
      </c>
      <c r="I1020" s="1921" t="str">
        <f t="shared" si="304"/>
        <v/>
      </c>
      <c r="J1020" s="1921" t="str">
        <f t="shared" si="304"/>
        <v/>
      </c>
      <c r="K1020" s="1921" t="str">
        <f t="shared" si="304"/>
        <v/>
      </c>
    </row>
    <row r="1021" spans="1:11">
      <c r="A1021" s="683" t="s">
        <v>3739</v>
      </c>
      <c r="B1021" s="1921">
        <f t="shared" ref="B1021:K1021" si="305">IF(AND(B1009=0,B1010=0,B1011=0,B1012=0),"",-B1008/(B1009+B1010+B1011+B1012))</f>
        <v>0</v>
      </c>
      <c r="C1021" s="1921">
        <f t="shared" si="305"/>
        <v>0</v>
      </c>
      <c r="D1021" s="1921">
        <f t="shared" si="305"/>
        <v>0</v>
      </c>
      <c r="E1021" s="1921">
        <f t="shared" si="305"/>
        <v>0</v>
      </c>
      <c r="F1021" s="1921">
        <f t="shared" si="305"/>
        <v>0</v>
      </c>
      <c r="G1021" s="1921">
        <f t="shared" si="305"/>
        <v>0</v>
      </c>
      <c r="H1021" s="1921">
        <f t="shared" si="305"/>
        <v>0</v>
      </c>
      <c r="I1021" s="1921">
        <f t="shared" si="305"/>
        <v>0</v>
      </c>
      <c r="J1021" s="1921">
        <f t="shared" si="305"/>
        <v>0</v>
      </c>
      <c r="K1021" s="1921">
        <f t="shared" si="305"/>
        <v>0</v>
      </c>
    </row>
    <row r="1022" spans="1:11">
      <c r="A1022" s="683" t="s">
        <v>778</v>
      </c>
      <c r="B1022" s="1922" t="e">
        <f t="shared" ref="B1022:K1022" si="306">IF(OR(B1006="Choose mgt fee",B1006="Choose One!"),"",(B1000+B1001+B1002+B1003+B1004) / -(B1005+B1006+B1007))</f>
        <v>#DIV/0!</v>
      </c>
      <c r="C1022" s="1922" t="e">
        <f t="shared" si="306"/>
        <v>#DIV/0!</v>
      </c>
      <c r="D1022" s="1922" t="e">
        <f t="shared" si="306"/>
        <v>#DIV/0!</v>
      </c>
      <c r="E1022" s="1922" t="e">
        <f t="shared" si="306"/>
        <v>#DIV/0!</v>
      </c>
      <c r="F1022" s="1922" t="e">
        <f t="shared" si="306"/>
        <v>#DIV/0!</v>
      </c>
      <c r="G1022" s="1922" t="e">
        <f t="shared" si="306"/>
        <v>#DIV/0!</v>
      </c>
      <c r="H1022" s="1922" t="e">
        <f t="shared" si="306"/>
        <v>#DIV/0!</v>
      </c>
      <c r="I1022" s="1922" t="e">
        <f t="shared" si="306"/>
        <v>#DIV/0!</v>
      </c>
      <c r="J1022" s="1922" t="e">
        <f t="shared" si="306"/>
        <v>#DIV/0!</v>
      </c>
      <c r="K1022" s="1922" t="e">
        <f t="shared" si="306"/>
        <v>#DIV/0!</v>
      </c>
    </row>
    <row r="1023" spans="1:11">
      <c r="A1023" s="683" t="s">
        <v>2634</v>
      </c>
      <c r="B1023" s="1920">
        <f>'Part VII-Pro Forma'!B67</f>
        <v>980876.50119090988</v>
      </c>
      <c r="C1023" s="1920">
        <f>'Part VII-Pro Forma'!C67</f>
        <v>938006.40178066737</v>
      </c>
      <c r="D1023" s="1920">
        <f>'Part VII-Pro Forma'!D67</f>
        <v>894270.99703582714</v>
      </c>
      <c r="E1023" s="1920">
        <f>'Part VII-Pro Forma'!E67</f>
        <v>849652.82132574264</v>
      </c>
      <c r="F1023" s="1920">
        <f>'Part VII-Pro Forma'!F67</f>
        <v>804134.05648726597</v>
      </c>
      <c r="G1023" s="1920">
        <f>'Part VII-Pro Forma'!G67</f>
        <v>757696.52470910689</v>
      </c>
      <c r="H1023" s="1920">
        <f>'Part VII-Pro Forma'!H67</f>
        <v>710321.68127256643</v>
      </c>
      <c r="I1023" s="1920">
        <f>'Part VII-Pro Forma'!I67</f>
        <v>661990.60714574729</v>
      </c>
      <c r="J1023" s="1920">
        <f>'Part VII-Pro Forma'!J67</f>
        <v>612684.0014282834</v>
      </c>
      <c r="K1023" s="1920">
        <f>'Part VII-Pro Forma'!K67</f>
        <v>562382.17364357063</v>
      </c>
    </row>
    <row r="1024" spans="1:11">
      <c r="A1024" s="683" t="s">
        <v>2635</v>
      </c>
      <c r="B1024" s="1920" t="str">
        <f>'Part VII-Pro Forma'!B68</f>
        <v/>
      </c>
      <c r="C1024" s="1920" t="str">
        <f>'Part VII-Pro Forma'!C68</f>
        <v/>
      </c>
      <c r="D1024" s="1920" t="str">
        <f>'Part VII-Pro Forma'!D68</f>
        <v/>
      </c>
      <c r="E1024" s="1920" t="str">
        <f>'Part VII-Pro Forma'!E68</f>
        <v/>
      </c>
      <c r="F1024" s="1920" t="str">
        <f>'Part VII-Pro Forma'!F68</f>
        <v/>
      </c>
      <c r="G1024" s="1920" t="str">
        <f>'Part VII-Pro Forma'!G68</f>
        <v/>
      </c>
      <c r="H1024" s="1920" t="str">
        <f>'Part VII-Pro Forma'!H68</f>
        <v/>
      </c>
      <c r="I1024" s="1920" t="str">
        <f>'Part VII-Pro Forma'!I68</f>
        <v/>
      </c>
      <c r="J1024" s="1920" t="str">
        <f>'Part VII-Pro Forma'!J68</f>
        <v/>
      </c>
      <c r="K1024" s="1920" t="str">
        <f>'Part VII-Pro Forma'!K68</f>
        <v/>
      </c>
    </row>
    <row r="1025" spans="1:11">
      <c r="A1025" s="683" t="s">
        <v>2636</v>
      </c>
      <c r="B1025" s="1920" t="str">
        <f>'Part VII-Pro Forma'!B69</f>
        <v/>
      </c>
      <c r="C1025" s="1920" t="str">
        <f>'Part VII-Pro Forma'!C69</f>
        <v/>
      </c>
      <c r="D1025" s="1920" t="str">
        <f>'Part VII-Pro Forma'!D69</f>
        <v/>
      </c>
      <c r="E1025" s="1920" t="str">
        <f>'Part VII-Pro Forma'!E69</f>
        <v/>
      </c>
      <c r="F1025" s="1920" t="str">
        <f>'Part VII-Pro Forma'!F69</f>
        <v/>
      </c>
      <c r="G1025" s="1920" t="str">
        <f>'Part VII-Pro Forma'!G69</f>
        <v/>
      </c>
      <c r="H1025" s="1920" t="str">
        <f>'Part VII-Pro Forma'!H69</f>
        <v/>
      </c>
      <c r="I1025" s="1920" t="str">
        <f>'Part VII-Pro Forma'!I69</f>
        <v/>
      </c>
      <c r="J1025" s="1920" t="str">
        <f>'Part VII-Pro Forma'!J69</f>
        <v/>
      </c>
      <c r="K1025" s="1920" t="str">
        <f>'Part VII-Pro Forma'!K69</f>
        <v/>
      </c>
    </row>
    <row r="1026" spans="1:11">
      <c r="A1026" s="683" t="s">
        <v>792</v>
      </c>
      <c r="B1026" s="1920" t="str">
        <f>'Part VII-Pro Forma'!B70</f>
        <v/>
      </c>
      <c r="C1026" s="1920" t="str">
        <f>'Part VII-Pro Forma'!C70</f>
        <v/>
      </c>
      <c r="D1026" s="1920" t="str">
        <f>'Part VII-Pro Forma'!D70</f>
        <v/>
      </c>
      <c r="E1026" s="1920" t="str">
        <f>'Part VII-Pro Forma'!E70</f>
        <v/>
      </c>
      <c r="F1026" s="1920" t="str">
        <f>'Part VII-Pro Forma'!F70</f>
        <v/>
      </c>
      <c r="G1026" s="1920" t="str">
        <f>'Part VII-Pro Forma'!G70</f>
        <v/>
      </c>
      <c r="H1026" s="1920" t="str">
        <f>'Part VII-Pro Forma'!H70</f>
        <v/>
      </c>
      <c r="I1026" s="1920" t="str">
        <f>'Part VII-Pro Forma'!I70</f>
        <v/>
      </c>
      <c r="J1026" s="1920" t="str">
        <f>'Part VII-Pro Forma'!J70</f>
        <v/>
      </c>
      <c r="K1026" s="1920" t="str">
        <f>'Part VII-Pro Forma'!K70</f>
        <v/>
      </c>
    </row>
    <row r="1027" spans="1:11">
      <c r="A1027" s="683" t="s">
        <v>4128</v>
      </c>
      <c r="B1027" s="1920" t="str">
        <f>'Part VII-Pro Forma'!B71</f>
        <v/>
      </c>
      <c r="C1027" s="1920" t="str">
        <f>'Part VII-Pro Forma'!C71</f>
        <v/>
      </c>
      <c r="D1027" s="1920" t="str">
        <f>'Part VII-Pro Forma'!D71</f>
        <v/>
      </c>
      <c r="E1027" s="1920" t="str">
        <f>'Part VII-Pro Forma'!E71</f>
        <v/>
      </c>
      <c r="F1027" s="1920" t="str">
        <f>'Part VII-Pro Forma'!F71</f>
        <v/>
      </c>
      <c r="G1027" s="1920" t="str">
        <f>'Part VII-Pro Forma'!G71</f>
        <v/>
      </c>
      <c r="H1027" s="1920" t="str">
        <f>'Part VII-Pro Forma'!H71</f>
        <v/>
      </c>
      <c r="I1027" s="1920" t="str">
        <f>'Part VII-Pro Forma'!I71</f>
        <v/>
      </c>
      <c r="J1027" s="1920" t="str">
        <f>'Part VII-Pro Forma'!J71</f>
        <v/>
      </c>
      <c r="K1027" s="1920" t="str">
        <f>'Part VII-Pro Forma'!K71</f>
        <v/>
      </c>
    </row>
    <row r="1028" spans="1:11">
      <c r="B1028" s="1920"/>
      <c r="C1028" s="1920"/>
      <c r="D1028" s="1920"/>
      <c r="E1028" s="1920"/>
      <c r="F1028" s="1920"/>
      <c r="G1028" s="1920"/>
      <c r="H1028" s="1920"/>
      <c r="I1028" s="1920"/>
      <c r="J1028" s="1920"/>
      <c r="K1028" s="1920"/>
    </row>
    <row r="1029" spans="1:11">
      <c r="A1029" s="1821" t="s">
        <v>2496</v>
      </c>
      <c r="B1029" s="1923">
        <f>K999+1</f>
        <v>21</v>
      </c>
      <c r="C1029" s="1923">
        <f t="shared" ref="C1029:K1029" si="307">B1029+1</f>
        <v>22</v>
      </c>
      <c r="D1029" s="1923">
        <f t="shared" si="307"/>
        <v>23</v>
      </c>
      <c r="E1029" s="1923">
        <f t="shared" si="307"/>
        <v>24</v>
      </c>
      <c r="F1029" s="1923">
        <f t="shared" si="307"/>
        <v>25</v>
      </c>
      <c r="G1029" s="1923">
        <f t="shared" si="307"/>
        <v>26</v>
      </c>
      <c r="H1029" s="1923">
        <f t="shared" si="307"/>
        <v>27</v>
      </c>
      <c r="I1029" s="1923">
        <f t="shared" si="307"/>
        <v>28</v>
      </c>
      <c r="J1029" s="1923">
        <f t="shared" si="307"/>
        <v>29</v>
      </c>
      <c r="K1029" s="1923">
        <f t="shared" si="307"/>
        <v>30</v>
      </c>
    </row>
    <row r="1030" spans="1:11">
      <c r="A1030" s="683" t="s">
        <v>2420</v>
      </c>
      <c r="B1030" s="1920">
        <f t="shared" ref="B1030:K1030" si="308">$B$14*(1+$B$5)^(B1029-1)</f>
        <v>0</v>
      </c>
      <c r="C1030" s="1920">
        <f t="shared" si="308"/>
        <v>0</v>
      </c>
      <c r="D1030" s="1920">
        <f t="shared" si="308"/>
        <v>0</v>
      </c>
      <c r="E1030" s="1920">
        <f t="shared" si="308"/>
        <v>0</v>
      </c>
      <c r="F1030" s="1920">
        <f t="shared" si="308"/>
        <v>0</v>
      </c>
      <c r="G1030" s="1920">
        <f t="shared" si="308"/>
        <v>0</v>
      </c>
      <c r="H1030" s="1920">
        <f t="shared" si="308"/>
        <v>0</v>
      </c>
      <c r="I1030" s="1920">
        <f t="shared" si="308"/>
        <v>0</v>
      </c>
      <c r="J1030" s="1920">
        <f t="shared" si="308"/>
        <v>0</v>
      </c>
      <c r="K1030" s="1920">
        <f t="shared" si="308"/>
        <v>0</v>
      </c>
    </row>
    <row r="1031" spans="1:11">
      <c r="A1031" s="683" t="s">
        <v>1026</v>
      </c>
      <c r="B1031" s="1920">
        <f t="shared" ref="B1031:K1031" si="309">$B$15*(1+$B$5)^(B1029-1)</f>
        <v>0</v>
      </c>
      <c r="C1031" s="1920">
        <f t="shared" si="309"/>
        <v>0</v>
      </c>
      <c r="D1031" s="1920">
        <f t="shared" si="309"/>
        <v>0</v>
      </c>
      <c r="E1031" s="1920">
        <f t="shared" si="309"/>
        <v>0</v>
      </c>
      <c r="F1031" s="1920">
        <f t="shared" si="309"/>
        <v>0</v>
      </c>
      <c r="G1031" s="1920">
        <f t="shared" si="309"/>
        <v>0</v>
      </c>
      <c r="H1031" s="1920">
        <f t="shared" si="309"/>
        <v>0</v>
      </c>
      <c r="I1031" s="1920">
        <f t="shared" si="309"/>
        <v>0</v>
      </c>
      <c r="J1031" s="1920">
        <f t="shared" si="309"/>
        <v>0</v>
      </c>
      <c r="K1031" s="1920">
        <f t="shared" si="309"/>
        <v>0</v>
      </c>
    </row>
    <row r="1032" spans="1:11">
      <c r="A1032" s="683" t="s">
        <v>2421</v>
      </c>
      <c r="B1032" s="1920">
        <f t="shared" ref="B1032:K1032" si="310">-(B1030+B1031)*$B$8</f>
        <v>0</v>
      </c>
      <c r="C1032" s="1920">
        <f t="shared" si="310"/>
        <v>0</v>
      </c>
      <c r="D1032" s="1920">
        <f t="shared" si="310"/>
        <v>0</v>
      </c>
      <c r="E1032" s="1920">
        <f t="shared" si="310"/>
        <v>0</v>
      </c>
      <c r="F1032" s="1920">
        <f t="shared" si="310"/>
        <v>0</v>
      </c>
      <c r="G1032" s="1920">
        <f t="shared" si="310"/>
        <v>0</v>
      </c>
      <c r="H1032" s="1920">
        <f t="shared" si="310"/>
        <v>0</v>
      </c>
      <c r="I1032" s="1920">
        <f t="shared" si="310"/>
        <v>0</v>
      </c>
      <c r="J1032" s="1920">
        <f t="shared" si="310"/>
        <v>0</v>
      </c>
      <c r="K1032" s="1920">
        <f t="shared" si="310"/>
        <v>0</v>
      </c>
    </row>
    <row r="1033" spans="1:11">
      <c r="A1033" s="683" t="s">
        <v>53</v>
      </c>
      <c r="B1033" s="1920">
        <f>'Part VI-Revenues &amp; Expenses'!G1102</f>
        <v>0</v>
      </c>
      <c r="C1033" s="1920">
        <f>'Part VI-Revenues &amp; Expenses'!H1102</f>
        <v>0</v>
      </c>
      <c r="D1033" s="1920">
        <f>'Part VI-Revenues &amp; Expenses'!I1102</f>
        <v>0</v>
      </c>
      <c r="E1033" s="1920">
        <f>'Part VI-Revenues &amp; Expenses'!J1102</f>
        <v>0</v>
      </c>
      <c r="F1033" s="1920">
        <f>'Part VI-Revenues &amp; Expenses'!K1102</f>
        <v>0</v>
      </c>
      <c r="G1033" s="1920">
        <f>'Part VI-Revenues &amp; Expenses'!L1102</f>
        <v>0</v>
      </c>
      <c r="H1033" s="1920">
        <f>'Part VI-Revenues &amp; Expenses'!M1102</f>
        <v>0</v>
      </c>
      <c r="I1033" s="1920">
        <f>'Part VI-Revenues &amp; Expenses'!N1102</f>
        <v>0</v>
      </c>
      <c r="J1033" s="1920">
        <f>'Part VI-Revenues &amp; Expenses'!O1102</f>
        <v>0</v>
      </c>
      <c r="K1033" s="1920">
        <f>'Part VI-Revenues &amp; Expenses'!P1102</f>
        <v>0</v>
      </c>
    </row>
    <row r="1034" spans="1:11">
      <c r="A1034" s="683" t="s">
        <v>54</v>
      </c>
      <c r="B1034" s="1920">
        <f>'Part VI-Revenues &amp; Expenses'!G1106</f>
        <v>0</v>
      </c>
      <c r="C1034" s="1920">
        <f>'Part VI-Revenues &amp; Expenses'!H1106</f>
        <v>0</v>
      </c>
      <c r="D1034" s="1920">
        <f>'Part VI-Revenues &amp; Expenses'!I1106</f>
        <v>0</v>
      </c>
      <c r="E1034" s="1920">
        <f>'Part VI-Revenues &amp; Expenses'!J1106</f>
        <v>0</v>
      </c>
      <c r="F1034" s="1920">
        <f>'Part VI-Revenues &amp; Expenses'!K1106</f>
        <v>0</v>
      </c>
      <c r="G1034" s="1920">
        <f>'Part VI-Revenues &amp; Expenses'!L1106</f>
        <v>0</v>
      </c>
      <c r="H1034" s="1920">
        <f>'Part VI-Revenues &amp; Expenses'!M1106</f>
        <v>0</v>
      </c>
      <c r="I1034" s="1920">
        <f>'Part VI-Revenues &amp; Expenses'!N1106</f>
        <v>0</v>
      </c>
      <c r="J1034" s="1920">
        <f>'Part VI-Revenues &amp; Expenses'!O1106</f>
        <v>0</v>
      </c>
      <c r="K1034" s="1920">
        <f>'Part VI-Revenues &amp; Expenses'!P1106</f>
        <v>0</v>
      </c>
    </row>
    <row r="1035" spans="1:11">
      <c r="A1035" s="683" t="s">
        <v>620</v>
      </c>
      <c r="B1035" s="1920">
        <f t="shared" ref="B1035:K1035" si="311">$B$19*(1+$B$6)^(B1029-1)</f>
        <v>0</v>
      </c>
      <c r="C1035" s="1920">
        <f t="shared" si="311"/>
        <v>0</v>
      </c>
      <c r="D1035" s="1920">
        <f t="shared" si="311"/>
        <v>0</v>
      </c>
      <c r="E1035" s="1920">
        <f t="shared" si="311"/>
        <v>0</v>
      </c>
      <c r="F1035" s="1920">
        <f t="shared" si="311"/>
        <v>0</v>
      </c>
      <c r="G1035" s="1920">
        <f t="shared" si="311"/>
        <v>0</v>
      </c>
      <c r="H1035" s="1920">
        <f t="shared" si="311"/>
        <v>0</v>
      </c>
      <c r="I1035" s="1920">
        <f t="shared" si="311"/>
        <v>0</v>
      </c>
      <c r="J1035" s="1920">
        <f t="shared" si="311"/>
        <v>0</v>
      </c>
      <c r="K1035" s="1920">
        <f t="shared" si="311"/>
        <v>0</v>
      </c>
    </row>
    <row r="1036" spans="1:11">
      <c r="A1036" s="683" t="s">
        <v>1125</v>
      </c>
      <c r="B1036" s="1920">
        <f>IF(AND('Part VII-Pro Forma'!$G$8="Yes",'Part VII-Pro Forma'!$G$9="Yes"),"Choose One!",IF('Part VII-Pro Forma'!$G$8="Yes",ROUND((-$K$8*(1+'Part VII-Pro Forma'!$B$6)^('Part VII-Pro Forma'!B1029-1)),),IF('Part VII-Pro Forma'!$G$9="Yes",ROUND((-(SUM(B1030:B1033)*'Part VII-Pro Forma'!$K$9)),),"Choose mgt fee")))</f>
        <v>0</v>
      </c>
      <c r="C1036" s="1920">
        <f>IF(AND('Part VII-Pro Forma'!$G$8="Yes",'Part VII-Pro Forma'!$G$9="Yes"),"Choose One!",IF('Part VII-Pro Forma'!$G$8="Yes",ROUND((-$K$8*(1+'Part VII-Pro Forma'!$B$6)^('Part VII-Pro Forma'!C1029-1)),),IF('Part VII-Pro Forma'!$G$9="Yes",ROUND((-(SUM(C1030:C1033)*'Part VII-Pro Forma'!$K$9)),),"Choose mgt fee")))</f>
        <v>0</v>
      </c>
      <c r="D1036" s="1920">
        <f>IF(AND('Part VII-Pro Forma'!$G$8="Yes",'Part VII-Pro Forma'!$G$9="Yes"),"Choose One!",IF('Part VII-Pro Forma'!$G$8="Yes",ROUND((-$K$8*(1+'Part VII-Pro Forma'!$B$6)^('Part VII-Pro Forma'!D1029-1)),),IF('Part VII-Pro Forma'!$G$9="Yes",ROUND((-(SUM(D1030:D1033)*'Part VII-Pro Forma'!$K$9)),),"Choose mgt fee")))</f>
        <v>0</v>
      </c>
      <c r="E1036" s="1920">
        <f>IF(AND('Part VII-Pro Forma'!$G$8="Yes",'Part VII-Pro Forma'!$G$9="Yes"),"Choose One!",IF('Part VII-Pro Forma'!$G$8="Yes",ROUND((-$K$8*(1+'Part VII-Pro Forma'!$B$6)^('Part VII-Pro Forma'!E1029-1)),),IF('Part VII-Pro Forma'!$G$9="Yes",ROUND((-(SUM(E1030:E1033)*'Part VII-Pro Forma'!$K$9)),),"Choose mgt fee")))</f>
        <v>0</v>
      </c>
      <c r="F1036" s="1920">
        <f>IF(AND('Part VII-Pro Forma'!$G$8="Yes",'Part VII-Pro Forma'!$G$9="Yes"),"Choose One!",IF('Part VII-Pro Forma'!$G$8="Yes",ROUND((-$K$8*(1+'Part VII-Pro Forma'!$B$6)^('Part VII-Pro Forma'!F1029-1)),),IF('Part VII-Pro Forma'!$G$9="Yes",ROUND((-(SUM(F1030:F1033)*'Part VII-Pro Forma'!$K$9)),),"Choose mgt fee")))</f>
        <v>0</v>
      </c>
      <c r="G1036" s="1920">
        <f>IF(AND('Part VII-Pro Forma'!$G$8="Yes",'Part VII-Pro Forma'!$G$9="Yes"),"Choose One!",IF('Part VII-Pro Forma'!$G$8="Yes",ROUND((-$K$8*(1+'Part VII-Pro Forma'!$B$6)^('Part VII-Pro Forma'!G1029-1)),),IF('Part VII-Pro Forma'!$G$9="Yes",ROUND((-(SUM(G1030:G1033)*'Part VII-Pro Forma'!$K$9)),),"Choose mgt fee")))</f>
        <v>0</v>
      </c>
      <c r="H1036" s="1920">
        <f>IF(AND('Part VII-Pro Forma'!$G$8="Yes",'Part VII-Pro Forma'!$G$9="Yes"),"Choose One!",IF('Part VII-Pro Forma'!$G$8="Yes",ROUND((-$K$8*(1+'Part VII-Pro Forma'!$B$6)^('Part VII-Pro Forma'!H1029-1)),),IF('Part VII-Pro Forma'!$G$9="Yes",ROUND((-(SUM(H1030:H1033)*'Part VII-Pro Forma'!$K$9)),),"Choose mgt fee")))</f>
        <v>0</v>
      </c>
      <c r="I1036" s="1920">
        <f>IF(AND('Part VII-Pro Forma'!$G$8="Yes",'Part VII-Pro Forma'!$G$9="Yes"),"Choose One!",IF('Part VII-Pro Forma'!$G$8="Yes",ROUND((-$K$8*(1+'Part VII-Pro Forma'!$B$6)^('Part VII-Pro Forma'!I1029-1)),),IF('Part VII-Pro Forma'!$G$9="Yes",ROUND((-(SUM(I1030:I1033)*'Part VII-Pro Forma'!$K$9)),),"Choose mgt fee")))</f>
        <v>0</v>
      </c>
      <c r="J1036" s="1920">
        <f>IF(AND('Part VII-Pro Forma'!$G$8="Yes",'Part VII-Pro Forma'!$G$9="Yes"),"Choose One!",IF('Part VII-Pro Forma'!$G$8="Yes",ROUND((-$K$8*(1+'Part VII-Pro Forma'!$B$6)^('Part VII-Pro Forma'!J1029-1)),),IF('Part VII-Pro Forma'!$G$9="Yes",ROUND((-(SUM(J1030:J1033)*'Part VII-Pro Forma'!$K$9)),),"Choose mgt fee")))</f>
        <v>0</v>
      </c>
      <c r="K1036" s="1920">
        <f>IF(AND('Part VII-Pro Forma'!$G$8="Yes",'Part VII-Pro Forma'!$G$9="Yes"),"Choose One!",IF('Part VII-Pro Forma'!$G$8="Yes",ROUND((-$K$8*(1+'Part VII-Pro Forma'!$B$6)^('Part VII-Pro Forma'!K1029-1)),),IF('Part VII-Pro Forma'!$G$9="Yes",ROUND((-(SUM(K1030:K1033)*'Part VII-Pro Forma'!$K$9)),),"Choose mgt fee")))</f>
        <v>0</v>
      </c>
    </row>
    <row r="1037" spans="1:11">
      <c r="A1037" s="683" t="s">
        <v>1214</v>
      </c>
      <c r="B1037" s="1920">
        <f t="shared" ref="B1037:K1037" si="312">$B$21*(1+$B$7)^(B1029-1)</f>
        <v>0</v>
      </c>
      <c r="C1037" s="1920">
        <f t="shared" si="312"/>
        <v>0</v>
      </c>
      <c r="D1037" s="1920">
        <f t="shared" si="312"/>
        <v>0</v>
      </c>
      <c r="E1037" s="1920">
        <f t="shared" si="312"/>
        <v>0</v>
      </c>
      <c r="F1037" s="1920">
        <f t="shared" si="312"/>
        <v>0</v>
      </c>
      <c r="G1037" s="1920">
        <f t="shared" si="312"/>
        <v>0</v>
      </c>
      <c r="H1037" s="1920">
        <f t="shared" si="312"/>
        <v>0</v>
      </c>
      <c r="I1037" s="1920">
        <f t="shared" si="312"/>
        <v>0</v>
      </c>
      <c r="J1037" s="1920">
        <f t="shared" si="312"/>
        <v>0</v>
      </c>
      <c r="K1037" s="1920">
        <f t="shared" si="312"/>
        <v>0</v>
      </c>
    </row>
    <row r="1038" spans="1:11">
      <c r="A1038" s="683" t="s">
        <v>1215</v>
      </c>
      <c r="B1038" s="1920">
        <f t="shared" ref="B1038:K1038" si="313">SUM(B1030:B1037)</f>
        <v>0</v>
      </c>
      <c r="C1038" s="1920">
        <f t="shared" si="313"/>
        <v>0</v>
      </c>
      <c r="D1038" s="1920">
        <f t="shared" si="313"/>
        <v>0</v>
      </c>
      <c r="E1038" s="1920">
        <f t="shared" si="313"/>
        <v>0</v>
      </c>
      <c r="F1038" s="1920">
        <f t="shared" si="313"/>
        <v>0</v>
      </c>
      <c r="G1038" s="1920">
        <f t="shared" si="313"/>
        <v>0</v>
      </c>
      <c r="H1038" s="1920">
        <f t="shared" si="313"/>
        <v>0</v>
      </c>
      <c r="I1038" s="1920">
        <f t="shared" si="313"/>
        <v>0</v>
      </c>
      <c r="J1038" s="1920">
        <f t="shared" si="313"/>
        <v>0</v>
      </c>
      <c r="K1038" s="1920">
        <f t="shared" si="313"/>
        <v>0</v>
      </c>
    </row>
    <row r="1039" spans="1:11">
      <c r="A1039" s="683" t="str">
        <f>$A1009</f>
        <v>Mortgage A</v>
      </c>
      <c r="B1039" s="1920">
        <f>'Part VII-Pro Forma'!B83</f>
        <v>-62096.071411721852</v>
      </c>
      <c r="C1039" s="1920">
        <f>'Part VII-Pro Forma'!C83</f>
        <v>-62096.071411721852</v>
      </c>
      <c r="D1039" s="1920">
        <f>'Part VII-Pro Forma'!D83</f>
        <v>-62096.071411721852</v>
      </c>
      <c r="E1039" s="1920">
        <f>'Part VII-Pro Forma'!E83</f>
        <v>-62096.071411721852</v>
      </c>
      <c r="F1039" s="1920">
        <f>'Part VII-Pro Forma'!F83</f>
        <v>-62096.071411721852</v>
      </c>
      <c r="G1039" s="1920">
        <f>'Part VII-Pro Forma'!G83</f>
        <v>-62096.071411721852</v>
      </c>
      <c r="H1039" s="1920">
        <f>'Part VII-Pro Forma'!H83</f>
        <v>-62096.071411721852</v>
      </c>
      <c r="I1039" s="1920">
        <f>'Part VII-Pro Forma'!I83</f>
        <v>-62096.071411721852</v>
      </c>
      <c r="J1039" s="1920">
        <f>'Part VII-Pro Forma'!J83</f>
        <v>-62096.071411721852</v>
      </c>
      <c r="K1039" s="1920">
        <f>'Part VII-Pro Forma'!K83</f>
        <v>-62096.071411721852</v>
      </c>
    </row>
    <row r="1040" spans="1:11">
      <c r="A1040" s="683" t="str">
        <f>$A1010</f>
        <v>Mortgage B</v>
      </c>
      <c r="B1040" s="1920">
        <f>'Part VII-Pro Forma'!B84</f>
        <v>0</v>
      </c>
      <c r="C1040" s="1920">
        <f>'Part VII-Pro Forma'!C84</f>
        <v>0</v>
      </c>
      <c r="D1040" s="1920">
        <f>'Part VII-Pro Forma'!D84</f>
        <v>0</v>
      </c>
      <c r="E1040" s="1920">
        <f>'Part VII-Pro Forma'!E84</f>
        <v>0</v>
      </c>
      <c r="F1040" s="1920">
        <f>'Part VII-Pro Forma'!F84</f>
        <v>0</v>
      </c>
      <c r="G1040" s="1920">
        <f>'Part VII-Pro Forma'!G84</f>
        <v>0</v>
      </c>
      <c r="H1040" s="1920">
        <f>'Part VII-Pro Forma'!H84</f>
        <v>0</v>
      </c>
      <c r="I1040" s="1920">
        <f>'Part VII-Pro Forma'!I84</f>
        <v>0</v>
      </c>
      <c r="J1040" s="1920">
        <f>'Part VII-Pro Forma'!J84</f>
        <v>0</v>
      </c>
      <c r="K1040" s="1920">
        <f>'Part VII-Pro Forma'!K84</f>
        <v>0</v>
      </c>
    </row>
    <row r="1041" spans="1:11">
      <c r="A1041" s="683" t="str">
        <f>$A1011</f>
        <v>Mortgage C</v>
      </c>
      <c r="B1041" s="1920">
        <f>'Part VII-Pro Forma'!B85</f>
        <v>0</v>
      </c>
      <c r="C1041" s="1920">
        <f>'Part VII-Pro Forma'!C85</f>
        <v>0</v>
      </c>
      <c r="D1041" s="1920">
        <f>'Part VII-Pro Forma'!D85</f>
        <v>0</v>
      </c>
      <c r="E1041" s="1920">
        <f>'Part VII-Pro Forma'!E85</f>
        <v>0</v>
      </c>
      <c r="F1041" s="1920">
        <f>'Part VII-Pro Forma'!F85</f>
        <v>0</v>
      </c>
      <c r="G1041" s="1920">
        <f>'Part VII-Pro Forma'!G85</f>
        <v>0</v>
      </c>
      <c r="H1041" s="1920">
        <f>'Part VII-Pro Forma'!H85</f>
        <v>0</v>
      </c>
      <c r="I1041" s="1920">
        <f>'Part VII-Pro Forma'!I85</f>
        <v>0</v>
      </c>
      <c r="J1041" s="1920">
        <f>'Part VII-Pro Forma'!J85</f>
        <v>0</v>
      </c>
      <c r="K1041" s="1920">
        <f>'Part VII-Pro Forma'!K85</f>
        <v>0</v>
      </c>
    </row>
    <row r="1042" spans="1:11">
      <c r="A1042" s="683" t="str">
        <f>$A1012</f>
        <v>D/S Other Source,not DDF</v>
      </c>
      <c r="B1042" s="1920">
        <f>'Part VII-Pro Forma'!B86</f>
        <v>0</v>
      </c>
      <c r="C1042" s="1920">
        <f>'Part VII-Pro Forma'!C86</f>
        <v>0</v>
      </c>
      <c r="D1042" s="1920">
        <f>'Part VII-Pro Forma'!D86</f>
        <v>0</v>
      </c>
      <c r="E1042" s="1920">
        <f>'Part VII-Pro Forma'!E86</f>
        <v>0</v>
      </c>
      <c r="F1042" s="1920">
        <f>'Part VII-Pro Forma'!F86</f>
        <v>0</v>
      </c>
      <c r="G1042" s="1920">
        <f>'Part VII-Pro Forma'!G86</f>
        <v>0</v>
      </c>
      <c r="H1042" s="1920">
        <f>'Part VII-Pro Forma'!H86</f>
        <v>0</v>
      </c>
      <c r="I1042" s="1920">
        <f>'Part VII-Pro Forma'!I86</f>
        <v>0</v>
      </c>
      <c r="J1042" s="1920">
        <f>'Part VII-Pro Forma'!J86</f>
        <v>0</v>
      </c>
      <c r="K1042" s="1920">
        <f>'Part VII-Pro Forma'!K86</f>
        <v>0</v>
      </c>
    </row>
    <row r="1043" spans="1:11">
      <c r="A1043" s="683" t="s">
        <v>771</v>
      </c>
      <c r="B1043" s="1920">
        <f>'Part VII-Pro Forma'!B87</f>
        <v>0</v>
      </c>
      <c r="C1043" s="1920">
        <f>'Part VII-Pro Forma'!C87</f>
        <v>0</v>
      </c>
      <c r="D1043" s="1920">
        <f>'Part VII-Pro Forma'!D87</f>
        <v>0</v>
      </c>
      <c r="E1043" s="1920">
        <f>'Part VII-Pro Forma'!E87</f>
        <v>0</v>
      </c>
      <c r="F1043" s="1920">
        <f>'Part VII-Pro Forma'!F87</f>
        <v>0</v>
      </c>
      <c r="G1043" s="1920">
        <f>'Part VII-Pro Forma'!G87</f>
        <v>0</v>
      </c>
      <c r="H1043" s="1920">
        <f>'Part VII-Pro Forma'!H87</f>
        <v>0</v>
      </c>
      <c r="I1043" s="1920">
        <f>'Part VII-Pro Forma'!I87</f>
        <v>0</v>
      </c>
      <c r="J1043" s="1920">
        <f>'Part VII-Pro Forma'!J87</f>
        <v>0</v>
      </c>
      <c r="K1043" s="1920">
        <f>'Part VII-Pro Forma'!K87</f>
        <v>0</v>
      </c>
    </row>
    <row r="1044" spans="1:11">
      <c r="A1044" s="683" t="s">
        <v>1174</v>
      </c>
      <c r="B1044" s="1920">
        <f>'Part VII-Pro Forma'!B88</f>
        <v>-12500</v>
      </c>
      <c r="C1044" s="1920">
        <f>'Part VII-Pro Forma'!C88</f>
        <v>-12500</v>
      </c>
      <c r="D1044" s="1920">
        <f>'Part VII-Pro Forma'!D88</f>
        <v>-12500</v>
      </c>
      <c r="E1044" s="1920">
        <f>'Part VII-Pro Forma'!E88</f>
        <v>-12500</v>
      </c>
      <c r="F1044" s="1920">
        <f>'Part VII-Pro Forma'!F88</f>
        <v>-12500</v>
      </c>
      <c r="G1044" s="1920">
        <f>'Part VII-Pro Forma'!G88</f>
        <v>-12500</v>
      </c>
      <c r="H1044" s="1920">
        <f>'Part VII-Pro Forma'!H88</f>
        <v>-12500</v>
      </c>
      <c r="I1044" s="1920">
        <f>'Part VII-Pro Forma'!I88</f>
        <v>-12500</v>
      </c>
      <c r="J1044" s="1920">
        <f>'Part VII-Pro Forma'!J88</f>
        <v>-12500</v>
      </c>
      <c r="K1044" s="1920">
        <f>'Part VII-Pro Forma'!K88</f>
        <v>-12500</v>
      </c>
    </row>
    <row r="1045" spans="1:11">
      <c r="A1045" s="683" t="s">
        <v>1175</v>
      </c>
      <c r="B1045" s="1920">
        <f t="shared" ref="B1045:K1045" si="314">SUM(B1038:B1044)</f>
        <v>-74596.071411721845</v>
      </c>
      <c r="C1045" s="1920">
        <f t="shared" si="314"/>
        <v>-74596.071411721845</v>
      </c>
      <c r="D1045" s="1920">
        <f t="shared" si="314"/>
        <v>-74596.071411721845</v>
      </c>
      <c r="E1045" s="1920">
        <f t="shared" si="314"/>
        <v>-74596.071411721845</v>
      </c>
      <c r="F1045" s="1920">
        <f t="shared" si="314"/>
        <v>-74596.071411721845</v>
      </c>
      <c r="G1045" s="1920">
        <f t="shared" si="314"/>
        <v>-74596.071411721845</v>
      </c>
      <c r="H1045" s="1920">
        <f t="shared" si="314"/>
        <v>-74596.071411721845</v>
      </c>
      <c r="I1045" s="1920">
        <f t="shared" si="314"/>
        <v>-74596.071411721845</v>
      </c>
      <c r="J1045" s="1920">
        <f t="shared" si="314"/>
        <v>-74596.071411721845</v>
      </c>
      <c r="K1045" s="1920">
        <f t="shared" si="314"/>
        <v>-74596.071411721845</v>
      </c>
    </row>
    <row r="1046" spans="1:11">
      <c r="A1046" s="683" t="str">
        <f>$A1017</f>
        <v>DCR Mortgage A</v>
      </c>
      <c r="B1046" s="1921">
        <f>IF(B1039=0,"",-B1038/B1039)</f>
        <v>0</v>
      </c>
      <c r="C1046" s="1921">
        <f t="shared" ref="C1046:K1046" si="315">IF(C1039=0,"",-C1038/C1039)</f>
        <v>0</v>
      </c>
      <c r="D1046" s="1921">
        <f t="shared" si="315"/>
        <v>0</v>
      </c>
      <c r="E1046" s="1921">
        <f t="shared" si="315"/>
        <v>0</v>
      </c>
      <c r="F1046" s="1921">
        <f t="shared" si="315"/>
        <v>0</v>
      </c>
      <c r="G1046" s="1921">
        <f t="shared" si="315"/>
        <v>0</v>
      </c>
      <c r="H1046" s="1921">
        <f t="shared" si="315"/>
        <v>0</v>
      </c>
      <c r="I1046" s="1921">
        <f t="shared" si="315"/>
        <v>0</v>
      </c>
      <c r="J1046" s="1921">
        <f t="shared" si="315"/>
        <v>0</v>
      </c>
      <c r="K1046" s="1921">
        <f t="shared" si="315"/>
        <v>0</v>
      </c>
    </row>
    <row r="1047" spans="1:11">
      <c r="A1047" s="683" t="str">
        <f>$A1018</f>
        <v>DCR Mortgage B</v>
      </c>
      <c r="B1047" s="1921" t="str">
        <f>IF(B1040=0,"",-(B1038+B1039)/B1040)</f>
        <v/>
      </c>
      <c r="C1047" s="1921" t="str">
        <f t="shared" ref="C1047:K1047" si="316">IF(C1040=0,"",-(C1038+C1039)/C1040)</f>
        <v/>
      </c>
      <c r="D1047" s="1921" t="str">
        <f t="shared" si="316"/>
        <v/>
      </c>
      <c r="E1047" s="1921" t="str">
        <f t="shared" si="316"/>
        <v/>
      </c>
      <c r="F1047" s="1921" t="str">
        <f t="shared" si="316"/>
        <v/>
      </c>
      <c r="G1047" s="1921" t="str">
        <f t="shared" si="316"/>
        <v/>
      </c>
      <c r="H1047" s="1921" t="str">
        <f t="shared" si="316"/>
        <v/>
      </c>
      <c r="I1047" s="1921" t="str">
        <f t="shared" si="316"/>
        <v/>
      </c>
      <c r="J1047" s="1921" t="str">
        <f t="shared" si="316"/>
        <v/>
      </c>
      <c r="K1047" s="1921" t="str">
        <f t="shared" si="316"/>
        <v/>
      </c>
    </row>
    <row r="1048" spans="1:11">
      <c r="A1048" s="683" t="str">
        <f>$A1019</f>
        <v>DCR Mortgage C</v>
      </c>
      <c r="B1048" s="1921" t="str">
        <f>IF(B1041=0,"",-(B1038+B1039+B1040)/B1041)</f>
        <v/>
      </c>
      <c r="C1048" s="1921" t="str">
        <f t="shared" ref="C1048:K1048" si="317">IF(C1041=0,"",-(C1038+C1039+C1040)/C1041)</f>
        <v/>
      </c>
      <c r="D1048" s="1921" t="str">
        <f t="shared" si="317"/>
        <v/>
      </c>
      <c r="E1048" s="1921" t="str">
        <f t="shared" si="317"/>
        <v/>
      </c>
      <c r="F1048" s="1921" t="str">
        <f t="shared" si="317"/>
        <v/>
      </c>
      <c r="G1048" s="1921" t="str">
        <f t="shared" si="317"/>
        <v/>
      </c>
      <c r="H1048" s="1921" t="str">
        <f t="shared" si="317"/>
        <v/>
      </c>
      <c r="I1048" s="1921" t="str">
        <f t="shared" si="317"/>
        <v/>
      </c>
      <c r="J1048" s="1921" t="str">
        <f t="shared" si="317"/>
        <v/>
      </c>
      <c r="K1048" s="1921" t="str">
        <f t="shared" si="317"/>
        <v/>
      </c>
    </row>
    <row r="1049" spans="1:11">
      <c r="A1049" s="683" t="str">
        <f>$A1020</f>
        <v>DCR Other Source</v>
      </c>
      <c r="B1049" s="1921" t="str">
        <f>IF(B1042=0,"",-(B1038+B1039+B1040+B1041)/B1042)</f>
        <v/>
      </c>
      <c r="C1049" s="1921" t="str">
        <f t="shared" ref="C1049:K1049" si="318">IF(C1042=0,"",-(C1038+C1039+C1040+C1041)/C1042)</f>
        <v/>
      </c>
      <c r="D1049" s="1921" t="str">
        <f t="shared" si="318"/>
        <v/>
      </c>
      <c r="E1049" s="1921" t="str">
        <f t="shared" si="318"/>
        <v/>
      </c>
      <c r="F1049" s="1921" t="str">
        <f t="shared" si="318"/>
        <v/>
      </c>
      <c r="G1049" s="1921" t="str">
        <f t="shared" si="318"/>
        <v/>
      </c>
      <c r="H1049" s="1921" t="str">
        <f t="shared" si="318"/>
        <v/>
      </c>
      <c r="I1049" s="1921" t="str">
        <f t="shared" si="318"/>
        <v/>
      </c>
      <c r="J1049" s="1921" t="str">
        <f t="shared" si="318"/>
        <v/>
      </c>
      <c r="K1049" s="1921" t="str">
        <f t="shared" si="318"/>
        <v/>
      </c>
    </row>
    <row r="1050" spans="1:11">
      <c r="A1050" s="683" t="s">
        <v>3739</v>
      </c>
      <c r="B1050" s="1921">
        <f>IF(AND(B1039=0,B1040=0,B1041=0,B1042=0),"",-B1038/(B1039+B1040+B1041+B1042))</f>
        <v>0</v>
      </c>
      <c r="C1050" s="1921">
        <f t="shared" ref="C1050:K1050" si="319">IF(AND(C1039=0,C1040=0,C1041=0,C1042=0),"",-C1038/(C1039+C1040+C1041+C1042))</f>
        <v>0</v>
      </c>
      <c r="D1050" s="1921">
        <f t="shared" si="319"/>
        <v>0</v>
      </c>
      <c r="E1050" s="1921">
        <f t="shared" si="319"/>
        <v>0</v>
      </c>
      <c r="F1050" s="1921">
        <f t="shared" si="319"/>
        <v>0</v>
      </c>
      <c r="G1050" s="1921">
        <f t="shared" si="319"/>
        <v>0</v>
      </c>
      <c r="H1050" s="1921">
        <f t="shared" si="319"/>
        <v>0</v>
      </c>
      <c r="I1050" s="1921">
        <f t="shared" si="319"/>
        <v>0</v>
      </c>
      <c r="J1050" s="1921">
        <f t="shared" si="319"/>
        <v>0</v>
      </c>
      <c r="K1050" s="1921">
        <f t="shared" si="319"/>
        <v>0</v>
      </c>
    </row>
    <row r="1051" spans="1:11">
      <c r="A1051" s="683" t="s">
        <v>778</v>
      </c>
      <c r="B1051" s="1922" t="e">
        <f>IF(OR(B1036="Choose mgt fee",B1036="Choose One!"),"",(B1030+B1031+B1032+B1033+B1034) / -(B1035+B1036+B1037))</f>
        <v>#DIV/0!</v>
      </c>
      <c r="C1051" s="1922" t="e">
        <f t="shared" ref="C1051:K1051" si="320">IF(OR(C1036="Choose mgt fee",C1036="Choose One!"),"",(C1030+C1031+C1032+C1033+C1034) / -(C1035+C1036+C1037))</f>
        <v>#DIV/0!</v>
      </c>
      <c r="D1051" s="1922" t="e">
        <f t="shared" si="320"/>
        <v>#DIV/0!</v>
      </c>
      <c r="E1051" s="1922" t="e">
        <f t="shared" si="320"/>
        <v>#DIV/0!</v>
      </c>
      <c r="F1051" s="1922" t="e">
        <f t="shared" si="320"/>
        <v>#DIV/0!</v>
      </c>
      <c r="G1051" s="1922" t="e">
        <f t="shared" si="320"/>
        <v>#DIV/0!</v>
      </c>
      <c r="H1051" s="1922" t="e">
        <f t="shared" si="320"/>
        <v>#DIV/0!</v>
      </c>
      <c r="I1051" s="1922" t="e">
        <f t="shared" si="320"/>
        <v>#DIV/0!</v>
      </c>
      <c r="J1051" s="1922" t="e">
        <f t="shared" si="320"/>
        <v>#DIV/0!</v>
      </c>
      <c r="K1051" s="1922" t="e">
        <f t="shared" si="320"/>
        <v>#DIV/0!</v>
      </c>
    </row>
    <row r="1052" spans="1:11">
      <c r="A1052" s="683" t="s">
        <v>2634</v>
      </c>
      <c r="B1052" s="1920">
        <f>'Part VII-Pro Forma'!B96</f>
        <v>511065.03587542154</v>
      </c>
      <c r="C1052" s="1920">
        <f>'Part VII-Pro Forma'!C96</f>
        <v>458712.09474600351</v>
      </c>
      <c r="D1052" s="1920">
        <f>'Part VII-Pro Forma'!D96</f>
        <v>405302.44323185657</v>
      </c>
      <c r="E1052" s="1920">
        <f>'Part VII-Pro Forma'!E96</f>
        <v>350814.75231472298</v>
      </c>
      <c r="F1052" s="1920">
        <f>'Part VII-Pro Forma'!F96</f>
        <v>295227.26246385422</v>
      </c>
      <c r="G1052" s="1920">
        <f>'Part VII-Pro Forma'!G96</f>
        <v>238517.77494639371</v>
      </c>
      <c r="H1052" s="1920">
        <f>'Part VII-Pro Forma'!H96</f>
        <v>180663.64296236506</v>
      </c>
      <c r="I1052" s="1920">
        <f>'Part VII-Pro Forma'!I96</f>
        <v>121641.76260072622</v>
      </c>
      <c r="J1052" s="1920">
        <f>'Part VII-Pro Forma'!J96</f>
        <v>61428.563612876977</v>
      </c>
      <c r="K1052" s="1920">
        <f>'Part VII-Pro Forma'!K96</f>
        <v>-6.4064806792885065E-8</v>
      </c>
    </row>
    <row r="1053" spans="1:11">
      <c r="A1053" s="683" t="s">
        <v>2635</v>
      </c>
      <c r="B1053" s="1920" t="str">
        <f>'Part VII-Pro Forma'!B97</f>
        <v/>
      </c>
      <c r="C1053" s="1920" t="str">
        <f>'Part VII-Pro Forma'!C97</f>
        <v/>
      </c>
      <c r="D1053" s="1920" t="str">
        <f>'Part VII-Pro Forma'!D97</f>
        <v/>
      </c>
      <c r="E1053" s="1920" t="str">
        <f>'Part VII-Pro Forma'!E97</f>
        <v/>
      </c>
      <c r="F1053" s="1920" t="str">
        <f>'Part VII-Pro Forma'!F97</f>
        <v/>
      </c>
      <c r="G1053" s="1920" t="str">
        <f>'Part VII-Pro Forma'!G97</f>
        <v/>
      </c>
      <c r="H1053" s="1920" t="str">
        <f>'Part VII-Pro Forma'!H97</f>
        <v/>
      </c>
      <c r="I1053" s="1920" t="str">
        <f>'Part VII-Pro Forma'!I97</f>
        <v/>
      </c>
      <c r="J1053" s="1920" t="str">
        <f>'Part VII-Pro Forma'!J97</f>
        <v/>
      </c>
      <c r="K1053" s="1920" t="str">
        <f>'Part VII-Pro Forma'!K97</f>
        <v/>
      </c>
    </row>
    <row r="1054" spans="1:11">
      <c r="A1054" s="683" t="s">
        <v>2636</v>
      </c>
      <c r="B1054" s="1920" t="str">
        <f>'Part VII-Pro Forma'!B98</f>
        <v/>
      </c>
      <c r="C1054" s="1920" t="str">
        <f>'Part VII-Pro Forma'!C98</f>
        <v/>
      </c>
      <c r="D1054" s="1920" t="str">
        <f>'Part VII-Pro Forma'!D98</f>
        <v/>
      </c>
      <c r="E1054" s="1920" t="str">
        <f>'Part VII-Pro Forma'!E98</f>
        <v/>
      </c>
      <c r="F1054" s="1920" t="str">
        <f>'Part VII-Pro Forma'!F98</f>
        <v/>
      </c>
      <c r="G1054" s="1920" t="str">
        <f>'Part VII-Pro Forma'!G98</f>
        <v/>
      </c>
      <c r="H1054" s="1920" t="str">
        <f>'Part VII-Pro Forma'!H98</f>
        <v/>
      </c>
      <c r="I1054" s="1920" t="str">
        <f>'Part VII-Pro Forma'!I98</f>
        <v/>
      </c>
      <c r="J1054" s="1920" t="str">
        <f>'Part VII-Pro Forma'!J98</f>
        <v/>
      </c>
      <c r="K1054" s="1920" t="str">
        <f>'Part VII-Pro Forma'!K98</f>
        <v/>
      </c>
    </row>
    <row r="1055" spans="1:11">
      <c r="A1055" s="683" t="s">
        <v>792</v>
      </c>
      <c r="B1055" s="1920" t="str">
        <f>'Part VII-Pro Forma'!B99</f>
        <v/>
      </c>
      <c r="C1055" s="1920" t="str">
        <f>'Part VII-Pro Forma'!C99</f>
        <v/>
      </c>
      <c r="D1055" s="1920" t="str">
        <f>'Part VII-Pro Forma'!D99</f>
        <v/>
      </c>
      <c r="E1055" s="1920" t="str">
        <f>'Part VII-Pro Forma'!E99</f>
        <v/>
      </c>
      <c r="F1055" s="1920" t="str">
        <f>'Part VII-Pro Forma'!F99</f>
        <v/>
      </c>
      <c r="G1055" s="1920" t="str">
        <f>'Part VII-Pro Forma'!G99</f>
        <v/>
      </c>
      <c r="H1055" s="1920" t="str">
        <f>'Part VII-Pro Forma'!H99</f>
        <v/>
      </c>
      <c r="I1055" s="1920" t="str">
        <f>'Part VII-Pro Forma'!I99</f>
        <v/>
      </c>
      <c r="J1055" s="1920" t="str">
        <f>'Part VII-Pro Forma'!J99</f>
        <v/>
      </c>
      <c r="K1055" s="1920" t="str">
        <f>'Part VII-Pro Forma'!K99</f>
        <v/>
      </c>
    </row>
    <row r="1056" spans="1:11">
      <c r="B1056" s="1920"/>
      <c r="C1056" s="1920"/>
      <c r="D1056" s="1920"/>
      <c r="E1056" s="1920"/>
      <c r="F1056" s="1920"/>
      <c r="G1056" s="1920"/>
      <c r="H1056" s="1920"/>
      <c r="I1056" s="1920"/>
      <c r="J1056" s="1920"/>
      <c r="K1056" s="1920"/>
    </row>
    <row r="1057" spans="1:11">
      <c r="A1057" s="1821" t="s">
        <v>2496</v>
      </c>
      <c r="B1057" s="1923">
        <f>K1029+1</f>
        <v>31</v>
      </c>
      <c r="C1057" s="1923">
        <f>B1057+1</f>
        <v>32</v>
      </c>
      <c r="D1057" s="1923">
        <f>C1057+1</f>
        <v>33</v>
      </c>
      <c r="E1057" s="1923">
        <f>D1057+1</f>
        <v>34</v>
      </c>
      <c r="F1057" s="1923">
        <f>E1057+1</f>
        <v>35</v>
      </c>
      <c r="G1057" s="1920"/>
      <c r="H1057" s="1920"/>
      <c r="I1057" s="1920"/>
      <c r="J1057" s="1920"/>
      <c r="K1057" s="1920"/>
    </row>
    <row r="1058" spans="1:11">
      <c r="A1058" s="683" t="s">
        <v>2420</v>
      </c>
      <c r="B1058" s="1920">
        <f>$B$14*(1+$B$5)^(B1057-1)</f>
        <v>0</v>
      </c>
      <c r="C1058" s="1920">
        <f>$B$14*(1+$B$5)^(C1057-1)</f>
        <v>0</v>
      </c>
      <c r="D1058" s="1920">
        <f>$B$14*(1+$B$5)^(D1057-1)</f>
        <v>0</v>
      </c>
      <c r="E1058" s="1920">
        <f>$B$14*(1+$B$5)^(E1057-1)</f>
        <v>0</v>
      </c>
      <c r="F1058" s="1920">
        <f>$B$14*(1+$B$5)^(F1057-1)</f>
        <v>0</v>
      </c>
      <c r="G1058" s="1920"/>
      <c r="H1058" s="1920"/>
      <c r="I1058" s="1920"/>
      <c r="J1058" s="1920"/>
      <c r="K1058" s="1920"/>
    </row>
    <row r="1059" spans="1:11">
      <c r="A1059" s="683" t="s">
        <v>1026</v>
      </c>
      <c r="B1059" s="1920">
        <f>$B$15*(1+$B$5)^(B1057-1)</f>
        <v>0</v>
      </c>
      <c r="C1059" s="1920">
        <f>$B$15*(1+$B$5)^(C1057-1)</f>
        <v>0</v>
      </c>
      <c r="D1059" s="1920">
        <f>$B$15*(1+$B$5)^(D1057-1)</f>
        <v>0</v>
      </c>
      <c r="E1059" s="1920">
        <f>$B$15*(1+$B$5)^(E1057-1)</f>
        <v>0</v>
      </c>
      <c r="F1059" s="1920">
        <f>$B$15*(1+$B$5)^(F1057-1)</f>
        <v>0</v>
      </c>
      <c r="G1059" s="1920"/>
      <c r="H1059" s="1920"/>
      <c r="I1059" s="1920"/>
      <c r="J1059" s="1920"/>
      <c r="K1059" s="1920"/>
    </row>
    <row r="1060" spans="1:11">
      <c r="A1060" s="683" t="s">
        <v>2421</v>
      </c>
      <c r="B1060" s="1920">
        <f>-(B1058+B1059)*$B$8</f>
        <v>0</v>
      </c>
      <c r="C1060" s="1920">
        <f>-(C1058+C1059)*$B$8</f>
        <v>0</v>
      </c>
      <c r="D1060" s="1920">
        <f>-(D1058+D1059)*$B$8</f>
        <v>0</v>
      </c>
      <c r="E1060" s="1920">
        <f>-(E1058+E1059)*$B$8</f>
        <v>0</v>
      </c>
      <c r="F1060" s="1920">
        <f>-(F1058+F1059)*$B$8</f>
        <v>0</v>
      </c>
      <c r="G1060" s="1920"/>
      <c r="H1060" s="1920"/>
      <c r="I1060" s="1920"/>
      <c r="J1060" s="1920"/>
      <c r="K1060" s="1920"/>
    </row>
    <row r="1061" spans="1:11">
      <c r="A1061" s="683" t="s">
        <v>53</v>
      </c>
      <c r="B1061" s="1920">
        <f>'Part VI-Revenues &amp; Expenses'!G1111</f>
        <v>0</v>
      </c>
      <c r="C1061" s="1920">
        <f>'Part VI-Revenues &amp; Expenses'!H1111</f>
        <v>0</v>
      </c>
      <c r="D1061" s="1920">
        <f>'Part VI-Revenues &amp; Expenses'!I1111</f>
        <v>0</v>
      </c>
      <c r="E1061" s="1920">
        <f>'Part VI-Revenues &amp; Expenses'!J1111</f>
        <v>0</v>
      </c>
      <c r="F1061" s="1920">
        <f>'Part VI-Revenues &amp; Expenses'!K1111</f>
        <v>0</v>
      </c>
      <c r="G1061" s="1920"/>
      <c r="H1061" s="1920"/>
      <c r="I1061" s="1920"/>
      <c r="J1061" s="1920"/>
      <c r="K1061" s="1920"/>
    </row>
    <row r="1062" spans="1:11">
      <c r="A1062" s="683" t="s">
        <v>54</v>
      </c>
      <c r="B1062" s="1920">
        <f>'Part VI-Revenues &amp; Expenses'!G1115</f>
        <v>0</v>
      </c>
      <c r="C1062" s="1920">
        <f>'Part VI-Revenues &amp; Expenses'!H1115</f>
        <v>0</v>
      </c>
      <c r="D1062" s="1920">
        <f>'Part VI-Revenues &amp; Expenses'!I1115</f>
        <v>0</v>
      </c>
      <c r="E1062" s="1920">
        <f>'Part VI-Revenues &amp; Expenses'!J1115</f>
        <v>0</v>
      </c>
      <c r="F1062" s="1920">
        <f>'Part VI-Revenues &amp; Expenses'!K1115</f>
        <v>0</v>
      </c>
      <c r="G1062" s="1920"/>
      <c r="H1062" s="1920"/>
      <c r="I1062" s="1920"/>
      <c r="J1062" s="1920"/>
      <c r="K1062" s="1920"/>
    </row>
    <row r="1063" spans="1:11">
      <c r="A1063" s="683" t="s">
        <v>620</v>
      </c>
      <c r="B1063" s="1920">
        <f>$B$19*(1+$B$6)^(B1057-1)</f>
        <v>0</v>
      </c>
      <c r="C1063" s="1920">
        <f>$B$19*(1+$B$6)^(C1057-1)</f>
        <v>0</v>
      </c>
      <c r="D1063" s="1920">
        <f>$B$19*(1+$B$6)^(D1057-1)</f>
        <v>0</v>
      </c>
      <c r="E1063" s="1920">
        <f>$B$19*(1+$B$6)^(E1057-1)</f>
        <v>0</v>
      </c>
      <c r="F1063" s="1920">
        <f>$B$19*(1+$B$6)^(F1057-1)</f>
        <v>0</v>
      </c>
      <c r="G1063" s="1920"/>
      <c r="H1063" s="1920"/>
      <c r="I1063" s="1920"/>
      <c r="J1063" s="1920"/>
      <c r="K1063" s="1920"/>
    </row>
    <row r="1064" spans="1:11">
      <c r="A1064" s="683" t="s">
        <v>1125</v>
      </c>
      <c r="B1064" s="1920">
        <f>IF(AND('Part VII-Pro Forma'!$G$8="Yes",'Part VII-Pro Forma'!$G$9="Yes"),"Choose One!",IF('Part VII-Pro Forma'!$G$8="Yes",ROUND((-$K$8*(1+'Part VII-Pro Forma'!$B$6)^('Part VII-Pro Forma'!B1057-1)),),IF('Part VII-Pro Forma'!$G$9="Yes",ROUND((-(SUM(B1058:B1061)*'Part VII-Pro Forma'!$K$9)),),"Choose mgt fee")))</f>
        <v>0</v>
      </c>
      <c r="C1064" s="1920">
        <f>IF(AND('Part VII-Pro Forma'!$G$8="Yes",'Part VII-Pro Forma'!$G$9="Yes"),"Choose One!",IF('Part VII-Pro Forma'!$G$8="Yes",ROUND((-$K$8*(1+'Part VII-Pro Forma'!$B$6)^('Part VII-Pro Forma'!C1057-1)),),IF('Part VII-Pro Forma'!$G$9="Yes",ROUND((-(SUM(C1058:C1061)*'Part VII-Pro Forma'!$K$9)),),"Choose mgt fee")))</f>
        <v>0</v>
      </c>
      <c r="D1064" s="1920">
        <f>IF(AND('Part VII-Pro Forma'!$G$8="Yes",'Part VII-Pro Forma'!$G$9="Yes"),"Choose One!",IF('Part VII-Pro Forma'!$G$8="Yes",ROUND((-$K$8*(1+'Part VII-Pro Forma'!$B$6)^('Part VII-Pro Forma'!D1057-1)),),IF('Part VII-Pro Forma'!$G$9="Yes",ROUND((-(SUM(D1058:D1061)*'Part VII-Pro Forma'!$K$9)),),"Choose mgt fee")))</f>
        <v>0</v>
      </c>
      <c r="E1064" s="1920">
        <f>IF(AND('Part VII-Pro Forma'!$G$8="Yes",'Part VII-Pro Forma'!$G$9="Yes"),"Choose One!",IF('Part VII-Pro Forma'!$G$8="Yes",ROUND((-$K$8*(1+'Part VII-Pro Forma'!$B$6)^('Part VII-Pro Forma'!E1057-1)),),IF('Part VII-Pro Forma'!$G$9="Yes",ROUND((-(SUM(E1058:E1061)*'Part VII-Pro Forma'!$K$9)),),"Choose mgt fee")))</f>
        <v>0</v>
      </c>
      <c r="F1064" s="1920">
        <f>IF(AND('Part VII-Pro Forma'!$G$8="Yes",'Part VII-Pro Forma'!$G$9="Yes"),"Choose One!",IF('Part VII-Pro Forma'!$G$8="Yes",ROUND((-$K$8*(1+'Part VII-Pro Forma'!$B$6)^('Part VII-Pro Forma'!F1057-1)),),IF('Part VII-Pro Forma'!$G$9="Yes",ROUND((-(SUM(F1058:F1061)*'Part VII-Pro Forma'!$K$9)),),"Choose mgt fee")))</f>
        <v>0</v>
      </c>
      <c r="G1064" s="1920"/>
      <c r="H1064" s="1920"/>
      <c r="I1064" s="1920"/>
      <c r="J1064" s="1920"/>
      <c r="K1064" s="1920"/>
    </row>
    <row r="1065" spans="1:11">
      <c r="A1065" s="683" t="s">
        <v>1214</v>
      </c>
      <c r="B1065" s="1920">
        <f>$B$21*(1+$B$7)^(B1057-1)</f>
        <v>0</v>
      </c>
      <c r="C1065" s="1920">
        <f>$B$21*(1+$B$7)^(C1057-1)</f>
        <v>0</v>
      </c>
      <c r="D1065" s="1920">
        <f>$B$21*(1+$B$7)^(D1057-1)</f>
        <v>0</v>
      </c>
      <c r="E1065" s="1920">
        <f>$B$21*(1+$B$7)^(E1057-1)</f>
        <v>0</v>
      </c>
      <c r="F1065" s="1920">
        <f>$B$21*(1+$B$7)^(F1057-1)</f>
        <v>0</v>
      </c>
      <c r="G1065" s="1920"/>
      <c r="H1065" s="1920"/>
      <c r="I1065" s="1920"/>
      <c r="J1065" s="1920"/>
      <c r="K1065" s="1920"/>
    </row>
    <row r="1066" spans="1:11">
      <c r="A1066" s="683" t="s">
        <v>1215</v>
      </c>
      <c r="B1066" s="1920">
        <f>SUM(B1058:B1065)</f>
        <v>0</v>
      </c>
      <c r="C1066" s="1920">
        <f>SUM(C1058:C1065)</f>
        <v>0</v>
      </c>
      <c r="D1066" s="1920">
        <f>SUM(D1058:D1065)</f>
        <v>0</v>
      </c>
      <c r="E1066" s="1920">
        <f>SUM(E1058:E1065)</f>
        <v>0</v>
      </c>
      <c r="F1066" s="1920">
        <f>SUM(F1058:F1065)</f>
        <v>0</v>
      </c>
      <c r="G1066" s="1920"/>
      <c r="H1066" s="1920"/>
      <c r="I1066" s="1920"/>
      <c r="J1066" s="1920"/>
      <c r="K1066" s="1920"/>
    </row>
    <row r="1067" spans="1:11">
      <c r="A1067" s="683" t="str">
        <f>$A1039</f>
        <v>Mortgage A</v>
      </c>
      <c r="B1067" s="1920">
        <f>'Part VII-Pro Forma'!B111</f>
        <v>-62096.071411721852</v>
      </c>
      <c r="C1067" s="1920">
        <f>'Part VII-Pro Forma'!C111</f>
        <v>-62096.071411721852</v>
      </c>
      <c r="D1067" s="1920">
        <f>'Part VII-Pro Forma'!D111</f>
        <v>-62096.071411721852</v>
      </c>
      <c r="E1067" s="1920">
        <f>'Part VII-Pro Forma'!E111</f>
        <v>-62096.071411721852</v>
      </c>
      <c r="F1067" s="1920">
        <f>'Part VII-Pro Forma'!F111</f>
        <v>-62096.071411721852</v>
      </c>
      <c r="G1067" s="1920"/>
      <c r="H1067" s="1920"/>
      <c r="I1067" s="1920"/>
      <c r="J1067" s="1920"/>
      <c r="K1067" s="1920"/>
    </row>
    <row r="1068" spans="1:11">
      <c r="A1068" s="683" t="str">
        <f>$A1040</f>
        <v>Mortgage B</v>
      </c>
      <c r="B1068" s="1920">
        <f>'Part VII-Pro Forma'!B112</f>
        <v>0</v>
      </c>
      <c r="C1068" s="1920">
        <f>'Part VII-Pro Forma'!C112</f>
        <v>0</v>
      </c>
      <c r="D1068" s="1920">
        <f>'Part VII-Pro Forma'!D112</f>
        <v>0</v>
      </c>
      <c r="E1068" s="1920">
        <f>'Part VII-Pro Forma'!E112</f>
        <v>0</v>
      </c>
      <c r="F1068" s="1920">
        <f>'Part VII-Pro Forma'!F112</f>
        <v>0</v>
      </c>
      <c r="G1068" s="1920"/>
      <c r="H1068" s="1920"/>
      <c r="I1068" s="1920"/>
      <c r="J1068" s="1920"/>
      <c r="K1068" s="1920"/>
    </row>
    <row r="1069" spans="1:11">
      <c r="A1069" s="683" t="str">
        <f>$A1041</f>
        <v>Mortgage C</v>
      </c>
      <c r="B1069" s="1920">
        <f>'Part VII-Pro Forma'!B113</f>
        <v>0</v>
      </c>
      <c r="C1069" s="1920">
        <f>'Part VII-Pro Forma'!C113</f>
        <v>0</v>
      </c>
      <c r="D1069" s="1920">
        <f>'Part VII-Pro Forma'!D113</f>
        <v>0</v>
      </c>
      <c r="E1069" s="1920">
        <f>'Part VII-Pro Forma'!E113</f>
        <v>0</v>
      </c>
      <c r="F1069" s="1920">
        <f>'Part VII-Pro Forma'!F113</f>
        <v>0</v>
      </c>
      <c r="G1069" s="1920"/>
      <c r="H1069" s="1920"/>
      <c r="I1069" s="1920"/>
      <c r="J1069" s="1920"/>
      <c r="K1069" s="1920"/>
    </row>
    <row r="1070" spans="1:11">
      <c r="A1070" s="683" t="str">
        <f>$A1042</f>
        <v>D/S Other Source,not DDF</v>
      </c>
      <c r="B1070" s="1920">
        <f>'Part VII-Pro Forma'!B114</f>
        <v>0</v>
      </c>
      <c r="C1070" s="1920">
        <f>'Part VII-Pro Forma'!C114</f>
        <v>0</v>
      </c>
      <c r="D1070" s="1920">
        <f>'Part VII-Pro Forma'!D114</f>
        <v>0</v>
      </c>
      <c r="E1070" s="1920">
        <f>'Part VII-Pro Forma'!E114</f>
        <v>0</v>
      </c>
      <c r="F1070" s="1920">
        <f>'Part VII-Pro Forma'!F114</f>
        <v>0</v>
      </c>
      <c r="G1070" s="1920"/>
      <c r="H1070" s="1920"/>
      <c r="I1070" s="1920"/>
      <c r="J1070" s="1920"/>
      <c r="K1070" s="1920"/>
    </row>
    <row r="1071" spans="1:11">
      <c r="A1071" s="683" t="s">
        <v>771</v>
      </c>
      <c r="B1071" s="1920">
        <f>'Part VII-Pro Forma'!B115</f>
        <v>0</v>
      </c>
      <c r="C1071" s="1920">
        <f>'Part VII-Pro Forma'!C115</f>
        <v>0</v>
      </c>
      <c r="D1071" s="1920">
        <f>'Part VII-Pro Forma'!D115</f>
        <v>0</v>
      </c>
      <c r="E1071" s="1920">
        <f>'Part VII-Pro Forma'!E115</f>
        <v>0</v>
      </c>
      <c r="F1071" s="1920">
        <f>'Part VII-Pro Forma'!F115</f>
        <v>0</v>
      </c>
      <c r="G1071" s="1920"/>
      <c r="H1071" s="1920"/>
      <c r="I1071" s="1920"/>
      <c r="J1071" s="1920"/>
      <c r="K1071" s="1920"/>
    </row>
    <row r="1072" spans="1:11">
      <c r="A1072" s="683" t="s">
        <v>1174</v>
      </c>
      <c r="B1072" s="1920">
        <f>'Part VII-Pro Forma'!B116</f>
        <v>-12500</v>
      </c>
      <c r="C1072" s="1920">
        <f>'Part VII-Pro Forma'!C116</f>
        <v>-12500</v>
      </c>
      <c r="D1072" s="1920">
        <f>'Part VII-Pro Forma'!D116</f>
        <v>-12500</v>
      </c>
      <c r="E1072" s="1920">
        <f>'Part VII-Pro Forma'!E116</f>
        <v>-12500</v>
      </c>
      <c r="F1072" s="1920">
        <f>'Part VII-Pro Forma'!F116</f>
        <v>-12500</v>
      </c>
      <c r="G1072" s="1920"/>
      <c r="H1072" s="1920"/>
      <c r="I1072" s="1920"/>
      <c r="J1072" s="1920"/>
      <c r="K1072" s="1920"/>
    </row>
    <row r="1073" spans="1:11">
      <c r="A1073" s="683" t="s">
        <v>1175</v>
      </c>
      <c r="B1073" s="1920">
        <f>SUM(B1066:B1072)</f>
        <v>-74596.071411721845</v>
      </c>
      <c r="C1073" s="1920">
        <f>SUM(C1066:C1072)</f>
        <v>-74596.071411721845</v>
      </c>
      <c r="D1073" s="1920">
        <f>SUM(D1066:D1072)</f>
        <v>-74596.071411721845</v>
      </c>
      <c r="E1073" s="1920">
        <f>SUM(E1066:E1072)</f>
        <v>-74596.071411721845</v>
      </c>
      <c r="F1073" s="1920">
        <f>SUM(F1066:F1072)</f>
        <v>-74596.071411721845</v>
      </c>
      <c r="G1073" s="1920"/>
      <c r="H1073" s="1920"/>
      <c r="I1073" s="1920"/>
      <c r="J1073" s="1920"/>
      <c r="K1073" s="1920"/>
    </row>
    <row r="1074" spans="1:11">
      <c r="A1074" s="683" t="str">
        <f>$A1046</f>
        <v>DCR Mortgage A</v>
      </c>
      <c r="B1074" s="1921">
        <f>IF(B1067=0,"",-B1066/B1067)</f>
        <v>0</v>
      </c>
      <c r="C1074" s="1921">
        <f>IF(C1067=0,"",-C1066/C1067)</f>
        <v>0</v>
      </c>
      <c r="D1074" s="1921">
        <f>IF(D1067=0,"",-D1066/D1067)</f>
        <v>0</v>
      </c>
      <c r="E1074" s="1921">
        <f>IF(E1067=0,"",-E1066/E1067)</f>
        <v>0</v>
      </c>
      <c r="F1074" s="1921">
        <f>IF(F1067=0,"",-F1066/F1067)</f>
        <v>0</v>
      </c>
      <c r="G1074" s="1920"/>
      <c r="H1074" s="1920"/>
      <c r="I1074" s="1920"/>
      <c r="J1074" s="1920"/>
      <c r="K1074" s="1920"/>
    </row>
    <row r="1075" spans="1:11">
      <c r="A1075" s="683" t="str">
        <f>$A1047</f>
        <v>DCR Mortgage B</v>
      </c>
      <c r="B1075" s="1921" t="str">
        <f>IF(B1068=0,"",-(B1066+B1067)/B1068)</f>
        <v/>
      </c>
      <c r="C1075" s="1921" t="str">
        <f>IF(C1068=0,"",-(C1066+C1067)/C1068)</f>
        <v/>
      </c>
      <c r="D1075" s="1921" t="str">
        <f>IF(D1068=0,"",-(D1066+D1067)/D1068)</f>
        <v/>
      </c>
      <c r="E1075" s="1921" t="str">
        <f>IF(E1068=0,"",-(E1066+E1067)/E1068)</f>
        <v/>
      </c>
      <c r="F1075" s="1921" t="str">
        <f>IF(F1068=0,"",-(F1066+F1067)/F1068)</f>
        <v/>
      </c>
      <c r="G1075" s="1920"/>
      <c r="H1075" s="1920"/>
      <c r="I1075" s="1920"/>
      <c r="J1075" s="1920"/>
      <c r="K1075" s="1920"/>
    </row>
    <row r="1076" spans="1:11">
      <c r="A1076" s="683" t="str">
        <f>$A1048</f>
        <v>DCR Mortgage C</v>
      </c>
      <c r="B1076" s="1921" t="str">
        <f>IF(B1069=0,"",-(B1066+B1067+B1068)/B1069)</f>
        <v/>
      </c>
      <c r="C1076" s="1921" t="str">
        <f>IF(C1069=0,"",-(C1066+C1067+C1068)/C1069)</f>
        <v/>
      </c>
      <c r="D1076" s="1921" t="str">
        <f>IF(D1069=0,"",-(D1066+D1067+D1068)/D1069)</f>
        <v/>
      </c>
      <c r="E1076" s="1921" t="str">
        <f>IF(E1069=0,"",-(E1066+E1067+E1068)/E1069)</f>
        <v/>
      </c>
      <c r="F1076" s="1921" t="str">
        <f>IF(F1069=0,"",-(F1066+F1067+F1068)/F1069)</f>
        <v/>
      </c>
      <c r="G1076" s="1920"/>
      <c r="H1076" s="1920"/>
      <c r="I1076" s="1920"/>
      <c r="J1076" s="1920"/>
      <c r="K1076" s="1920"/>
    </row>
    <row r="1077" spans="1:11">
      <c r="A1077" s="683" t="str">
        <f>$A1049</f>
        <v>DCR Other Source</v>
      </c>
      <c r="B1077" s="1921" t="str">
        <f>IF(B1070=0,"",-(B1066+B1067+B1068+B1069)/B1070)</f>
        <v/>
      </c>
      <c r="C1077" s="1921" t="str">
        <f>IF(C1070=0,"",-(C1066+C1067+C1068+C1069)/C1070)</f>
        <v/>
      </c>
      <c r="D1077" s="1921" t="str">
        <f>IF(D1070=0,"",-(D1066+D1067+D1068+D1069)/D1070)</f>
        <v/>
      </c>
      <c r="E1077" s="1921" t="str">
        <f>IF(E1070=0,"",-(E1066+E1067+E1068+E1069)/E1070)</f>
        <v/>
      </c>
      <c r="F1077" s="1921" t="str">
        <f>IF(F1070=0,"",-(F1066+F1067+F1068+F1069)/F1070)</f>
        <v/>
      </c>
      <c r="G1077" s="1920"/>
      <c r="H1077" s="1920"/>
      <c r="I1077" s="1920"/>
      <c r="J1077" s="1920"/>
      <c r="K1077" s="1920"/>
    </row>
    <row r="1078" spans="1:11">
      <c r="A1078" s="683" t="s">
        <v>3739</v>
      </c>
      <c r="B1078" s="1921">
        <f>IF(AND(B1067=0,B1068=0,B1069=0,B1070=0),"",-B1066/(B1067+B1068+B1069+B1070))</f>
        <v>0</v>
      </c>
      <c r="C1078" s="1921">
        <f>IF(AND(C1067=0,C1068=0,C1069=0,C1070=0),"",-C1066/(C1067+C1068+C1069+C1070))</f>
        <v>0</v>
      </c>
      <c r="D1078" s="1921">
        <f>IF(AND(D1067=0,D1068=0,D1069=0,D1070=0),"",-D1066/(D1067+D1068+D1069+D1070))</f>
        <v>0</v>
      </c>
      <c r="E1078" s="1921">
        <f>IF(AND(E1067=0,E1068=0,E1069=0,E1070=0),"",-E1066/(E1067+E1068+E1069+E1070))</f>
        <v>0</v>
      </c>
      <c r="F1078" s="1921">
        <f>IF(AND(F1067=0,F1068=0,F1069=0,F1070=0),"",-F1066/(F1067+F1068+F1069+F1070))</f>
        <v>0</v>
      </c>
      <c r="G1078" s="1920"/>
      <c r="H1078" s="1920"/>
      <c r="I1078" s="1920"/>
      <c r="J1078" s="1920"/>
      <c r="K1078" s="1920"/>
    </row>
    <row r="1079" spans="1:11">
      <c r="A1079" s="683" t="s">
        <v>778</v>
      </c>
      <c r="B1079" s="1922" t="e">
        <f>IF(OR(B1064="Choose mgt fee",B1064="Choose One!"),"",(B1058+B1059+B1060+B1061+B1062) / -(B1063+B1064+B1065))</f>
        <v>#DIV/0!</v>
      </c>
      <c r="C1079" s="1922" t="e">
        <f>IF(OR(C1064="Choose mgt fee",C1064="Choose One!"),"",(C1058+C1059+C1060+C1061+C1062) / -(C1063+C1064+C1065))</f>
        <v>#DIV/0!</v>
      </c>
      <c r="D1079" s="1922" t="e">
        <f>IF(OR(D1064="Choose mgt fee",D1064="Choose One!"),"",(D1058+D1059+D1060+D1061+D1062) / -(D1063+D1064+D1065))</f>
        <v>#DIV/0!</v>
      </c>
      <c r="E1079" s="1922" t="e">
        <f>IF(OR(E1064="Choose mgt fee",E1064="Choose One!"),"",(E1058+E1059+E1060+E1061+E1062) / -(E1063+E1064+E1065))</f>
        <v>#DIV/0!</v>
      </c>
      <c r="F1079" s="1922" t="e">
        <f>IF(OR(F1064="Choose mgt fee",F1064="Choose One!"),"",(F1058+F1059+F1060+F1061+F1062) / -(F1063+F1064+F1065))</f>
        <v>#DIV/0!</v>
      </c>
      <c r="G1079" s="1920"/>
      <c r="H1079" s="1920"/>
      <c r="I1079" s="1920"/>
      <c r="J1079" s="1920"/>
      <c r="K1079" s="1920"/>
    </row>
    <row r="1080" spans="1:11">
      <c r="A1080" s="683" t="s">
        <v>2634</v>
      </c>
      <c r="B1080" s="1920">
        <f>'Part VII-Pro Forma'!B124</f>
        <v>-62668.459589972481</v>
      </c>
      <c r="C1080" s="1920">
        <f>'Part VII-Pro Forma'!C124</f>
        <v>-126601.84165825543</v>
      </c>
      <c r="D1080" s="1920">
        <f>'Part VII-Pro Forma'!D124</f>
        <v>-191825.67785012597</v>
      </c>
      <c r="E1080" s="1920">
        <f>'Part VII-Pro Forma'!E124</f>
        <v>-258366.01515060524</v>
      </c>
      <c r="F1080" s="1920">
        <f>'Part VII-Pro Forma'!F124</f>
        <v>-326249.42628632451</v>
      </c>
      <c r="G1080" s="1920"/>
      <c r="H1080" s="1920"/>
      <c r="I1080" s="1920"/>
      <c r="J1080" s="1920"/>
      <c r="K1080" s="1920"/>
    </row>
    <row r="1081" spans="1:11">
      <c r="A1081" s="683" t="s">
        <v>2635</v>
      </c>
      <c r="B1081" s="1920" t="str">
        <f>'Part VII-Pro Forma'!B125</f>
        <v/>
      </c>
      <c r="C1081" s="1920" t="str">
        <f>'Part VII-Pro Forma'!C125</f>
        <v/>
      </c>
      <c r="D1081" s="1920" t="str">
        <f>'Part VII-Pro Forma'!D125</f>
        <v/>
      </c>
      <c r="E1081" s="1920" t="str">
        <f>'Part VII-Pro Forma'!E125</f>
        <v/>
      </c>
      <c r="F1081" s="1920" t="str">
        <f>'Part VII-Pro Forma'!F125</f>
        <v/>
      </c>
      <c r="G1081" s="1920"/>
      <c r="H1081" s="1920"/>
      <c r="I1081" s="1920"/>
      <c r="J1081" s="1920"/>
      <c r="K1081" s="1920"/>
    </row>
    <row r="1082" spans="1:11">
      <c r="A1082" s="683" t="s">
        <v>2636</v>
      </c>
      <c r="B1082" s="1920" t="str">
        <f>'Part VII-Pro Forma'!B126</f>
        <v/>
      </c>
      <c r="C1082" s="1920" t="str">
        <f>'Part VII-Pro Forma'!C126</f>
        <v/>
      </c>
      <c r="D1082" s="1920" t="str">
        <f>'Part VII-Pro Forma'!D126</f>
        <v/>
      </c>
      <c r="E1082" s="1920" t="str">
        <f>'Part VII-Pro Forma'!E126</f>
        <v/>
      </c>
      <c r="F1082" s="1920" t="str">
        <f>'Part VII-Pro Forma'!F126</f>
        <v/>
      </c>
      <c r="G1082" s="1920"/>
      <c r="H1082" s="1920"/>
      <c r="I1082" s="1920"/>
      <c r="J1082" s="1920"/>
      <c r="K1082" s="1920"/>
    </row>
    <row r="1083" spans="1:11">
      <c r="A1083" s="683" t="s">
        <v>792</v>
      </c>
      <c r="B1083" s="1920" t="str">
        <f>'Part VII-Pro Forma'!B127</f>
        <v/>
      </c>
      <c r="C1083" s="1920" t="str">
        <f>'Part VII-Pro Forma'!C127</f>
        <v/>
      </c>
      <c r="D1083" s="1920" t="str">
        <f>'Part VII-Pro Forma'!D127</f>
        <v/>
      </c>
      <c r="E1083" s="1920" t="str">
        <f>'Part VII-Pro Forma'!E127</f>
        <v/>
      </c>
      <c r="F1083" s="1920" t="str">
        <f>'Part VII-Pro Forma'!F127</f>
        <v/>
      </c>
      <c r="G1083" s="1920"/>
      <c r="H1083" s="1920"/>
      <c r="I1083" s="1920"/>
      <c r="J1083" s="1920"/>
      <c r="K1083" s="1920"/>
    </row>
    <row r="1085" spans="1:11">
      <c r="A1085" s="1821" t="s">
        <v>576</v>
      </c>
      <c r="B1085" s="1821"/>
      <c r="G1085" s="1821" t="s">
        <v>1041</v>
      </c>
    </row>
    <row r="1086" spans="1:11">
      <c r="B1086" s="1825"/>
    </row>
    <row r="1087" spans="1:11" ht="12.75" customHeight="1">
      <c r="A1087" s="1697" t="str">
        <f>'Part VII-Pro Forma'!A131</f>
        <v xml:space="preserve">Asset management fees of $12,500 per year, escalating at 3% per year, as prescribed in the preliminary commitment letter from Wells Fargo.  As Wells Fargo proposes to serve as both the federal and state tax credit investor, the asset management fee covers both functions.
In the first year, the management fee is $39 per unit per month based on occupied units which is typical for a MHA managed property. </v>
      </c>
      <c r="B1087" s="1697">
        <f>'Part VII-Pro Forma'!B131</f>
        <v>0</v>
      </c>
      <c r="C1087" s="1697">
        <f>'Part VII-Pro Forma'!C131</f>
        <v>0</v>
      </c>
      <c r="D1087" s="1697">
        <f>'Part VII-Pro Forma'!D131</f>
        <v>0</v>
      </c>
      <c r="E1087" s="1697">
        <f>'Part VII-Pro Forma'!E131</f>
        <v>0</v>
      </c>
      <c r="F1087" s="1697">
        <f>'Part VII-Pro Forma'!F131</f>
        <v>0</v>
      </c>
      <c r="G1087" s="1697">
        <f>'Part VII-Pro Forma'!G131</f>
        <v>0</v>
      </c>
      <c r="H1087" s="1697">
        <f>'Part VII-Pro Forma'!H131</f>
        <v>0</v>
      </c>
      <c r="I1087" s="1697">
        <f>'Part VII-Pro Forma'!I131</f>
        <v>0</v>
      </c>
      <c r="J1087" s="1697">
        <f>'Part VII-Pro Forma'!J131</f>
        <v>0</v>
      </c>
      <c r="K1087" s="1697">
        <f>'Part VII-Pro Forma'!K131</f>
        <v>0</v>
      </c>
    </row>
    <row r="1095" spans="1:17">
      <c r="A1095" s="1818" t="str">
        <f>CONCATENATE("PART EIGHT - THRESHOLD CRITERIA","  -  ",'Part I-Project Information'!$O$6," ",'Part I-Project Information'!$F$34,", ",'Part I-Project Information'!F1132,", ",'Part I-Project Information'!J1133," County")</f>
        <v>PART EIGHT - THRESHOLD CRITERIA  -  2018-013 Tindall Fields III, ,  County</v>
      </c>
      <c r="B1095" s="1818"/>
      <c r="C1095" s="1818"/>
      <c r="D1095" s="1818"/>
      <c r="E1095" s="1818"/>
      <c r="F1095" s="1818"/>
      <c r="G1095" s="1818"/>
      <c r="H1095" s="1818"/>
      <c r="I1095" s="1818"/>
      <c r="J1095" s="1818"/>
      <c r="K1095" s="1818"/>
      <c r="L1095" s="1818"/>
      <c r="M1095" s="1818"/>
      <c r="N1095" s="1818"/>
      <c r="O1095" s="1818"/>
      <c r="P1095" s="1818"/>
      <c r="Q1095" s="1818"/>
    </row>
    <row r="1097" spans="1:17" ht="20.25" customHeight="1">
      <c r="A1097" s="1924"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924"/>
      <c r="C1097" s="1924"/>
      <c r="D1097" s="1924"/>
      <c r="E1097" s="1924"/>
      <c r="F1097" s="1924"/>
      <c r="G1097" s="1924"/>
      <c r="H1097" s="1924"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924"/>
      <c r="J1097" s="1924"/>
      <c r="K1097" s="1924"/>
      <c r="L1097" s="1924"/>
      <c r="M1097" s="1924"/>
      <c r="N1097" s="1924"/>
      <c r="O1097" s="1841" t="s">
        <v>944</v>
      </c>
      <c r="P1097" s="1841"/>
      <c r="Q1097" s="1842" t="s">
        <v>1857</v>
      </c>
    </row>
    <row r="1098" spans="1:17">
      <c r="A1098" s="1836"/>
      <c r="B1098" s="1925"/>
      <c r="C1098" s="1925"/>
      <c r="D1098" s="1925"/>
      <c r="E1098" s="1836"/>
      <c r="F1098" s="1836"/>
      <c r="G1098" s="1836"/>
      <c r="H1098" s="1836"/>
      <c r="I1098" s="1836"/>
      <c r="J1098" s="1836"/>
      <c r="K1098" s="1836"/>
      <c r="L1098" s="1836"/>
      <c r="M1098" s="1836"/>
      <c r="N1098" s="1836"/>
      <c r="P1098" s="1836"/>
      <c r="Q1098" s="1836"/>
    </row>
    <row r="1099" spans="1:17">
      <c r="A1099" s="1836"/>
      <c r="B1099" s="1836"/>
      <c r="C1099" s="1836"/>
      <c r="D1099" s="1836"/>
      <c r="E1099" s="1836"/>
      <c r="F1099" s="1836"/>
      <c r="G1099" s="1836"/>
      <c r="H1099" s="1836"/>
      <c r="I1099" s="1836"/>
      <c r="J1099" s="1836"/>
      <c r="K1099" s="1836"/>
      <c r="L1099" s="1836"/>
      <c r="M1099" s="1836"/>
      <c r="N1099" s="1836"/>
      <c r="P1099" s="1836"/>
      <c r="Q1099" s="1836"/>
    </row>
    <row r="1100" spans="1:17" ht="18" customHeight="1">
      <c r="A1100" s="1926" t="s">
        <v>572</v>
      </c>
      <c r="J1100" s="1927" t="s">
        <v>4788</v>
      </c>
      <c r="K1100" s="1927"/>
      <c r="L1100" s="1927"/>
      <c r="M1100" s="1927"/>
      <c r="N1100" s="1927"/>
      <c r="O1100" s="1927"/>
      <c r="P1100" s="1928">
        <f>'Part VIII-Threshold Criteria'!P6</f>
        <v>0</v>
      </c>
      <c r="Q1100" s="1928">
        <f>'Part VIII-Threshold Criteria'!Q6</f>
        <v>0</v>
      </c>
    </row>
    <row r="1101" spans="1:17">
      <c r="A1101" s="1929" t="s">
        <v>3472</v>
      </c>
      <c r="H1101" s="1629"/>
      <c r="I1101" s="1629"/>
      <c r="J1101" s="1629"/>
      <c r="K1101" s="1629"/>
      <c r="L1101" s="1629"/>
      <c r="M1101" s="1836"/>
      <c r="N1101" s="1836"/>
    </row>
    <row r="1102" spans="1:17">
      <c r="A1102" s="1707" t="str">
        <f>'Part VIII-Threshold Criteria'!A8</f>
        <v xml:space="preserve">1.) </v>
      </c>
      <c r="B1102" s="1707">
        <f>'Part VIII-Threshold Criteria'!B8</f>
        <v>0</v>
      </c>
      <c r="C1102" s="1707">
        <f>'Part VIII-Threshold Criteria'!C8</f>
        <v>0</v>
      </c>
      <c r="D1102" s="1707">
        <f>'Part VIII-Threshold Criteria'!D8</f>
        <v>0</v>
      </c>
      <c r="E1102" s="1707">
        <f>'Part VIII-Threshold Criteria'!E8</f>
        <v>0</v>
      </c>
      <c r="F1102" s="1707">
        <f>'Part VIII-Threshold Criteria'!F8</f>
        <v>0</v>
      </c>
      <c r="G1102" s="1707">
        <f>'Part VIII-Threshold Criteria'!G8</f>
        <v>0</v>
      </c>
      <c r="H1102" s="1707">
        <f>'Part VIII-Threshold Criteria'!H8</f>
        <v>0</v>
      </c>
      <c r="I1102" s="1707">
        <f>'Part VIII-Threshold Criteria'!I8</f>
        <v>0</v>
      </c>
      <c r="J1102" s="1707">
        <f>'Part VIII-Threshold Criteria'!J8</f>
        <v>0</v>
      </c>
      <c r="K1102" s="1707">
        <f>'Part VIII-Threshold Criteria'!K8</f>
        <v>0</v>
      </c>
      <c r="L1102" s="1707">
        <f>'Part VIII-Threshold Criteria'!L8</f>
        <v>0</v>
      </c>
      <c r="M1102" s="1707">
        <f>'Part VIII-Threshold Criteria'!M8</f>
        <v>0</v>
      </c>
      <c r="N1102" s="1707">
        <f>'Part VIII-Threshold Criteria'!N8</f>
        <v>0</v>
      </c>
      <c r="O1102" s="1707">
        <f>'Part VIII-Threshold Criteria'!O8</f>
        <v>0</v>
      </c>
      <c r="P1102" s="1707">
        <f>'Part VIII-Threshold Criteria'!P8</f>
        <v>0</v>
      </c>
      <c r="Q1102" s="1707">
        <f>'Part VIII-Threshold Criteria'!Q8</f>
        <v>0</v>
      </c>
    </row>
    <row r="1103" spans="1:17">
      <c r="A1103" s="1707" t="str">
        <f>'Part VIII-Threshold Criteria'!A9</f>
        <v>2.)</v>
      </c>
      <c r="B1103" s="1707">
        <f>'Part VIII-Threshold Criteria'!B9</f>
        <v>0</v>
      </c>
      <c r="C1103" s="1707">
        <f>'Part VIII-Threshold Criteria'!C9</f>
        <v>0</v>
      </c>
      <c r="D1103" s="1707">
        <f>'Part VIII-Threshold Criteria'!D9</f>
        <v>0</v>
      </c>
      <c r="E1103" s="1707">
        <f>'Part VIII-Threshold Criteria'!E9</f>
        <v>0</v>
      </c>
      <c r="F1103" s="1707">
        <f>'Part VIII-Threshold Criteria'!F9</f>
        <v>0</v>
      </c>
      <c r="G1103" s="1707">
        <f>'Part VIII-Threshold Criteria'!G9</f>
        <v>0</v>
      </c>
      <c r="H1103" s="1707">
        <f>'Part VIII-Threshold Criteria'!H9</f>
        <v>0</v>
      </c>
      <c r="I1103" s="1707">
        <f>'Part VIII-Threshold Criteria'!I9</f>
        <v>0</v>
      </c>
      <c r="J1103" s="1707">
        <f>'Part VIII-Threshold Criteria'!J9</f>
        <v>0</v>
      </c>
      <c r="K1103" s="1707">
        <f>'Part VIII-Threshold Criteria'!K9</f>
        <v>0</v>
      </c>
      <c r="L1103" s="1707">
        <f>'Part VIII-Threshold Criteria'!L9</f>
        <v>0</v>
      </c>
      <c r="M1103" s="1707">
        <f>'Part VIII-Threshold Criteria'!M9</f>
        <v>0</v>
      </c>
      <c r="N1103" s="1707">
        <f>'Part VIII-Threshold Criteria'!N9</f>
        <v>0</v>
      </c>
      <c r="O1103" s="1707">
        <f>'Part VIII-Threshold Criteria'!O9</f>
        <v>0</v>
      </c>
      <c r="P1103" s="1707">
        <f>'Part VIII-Threshold Criteria'!P9</f>
        <v>0</v>
      </c>
      <c r="Q1103" s="1707">
        <f>'Part VIII-Threshold Criteria'!Q9</f>
        <v>0</v>
      </c>
    </row>
    <row r="1104" spans="1:17">
      <c r="A1104" s="1707" t="str">
        <f>'Part VIII-Threshold Criteria'!A10</f>
        <v>3.)</v>
      </c>
      <c r="B1104" s="1707">
        <f>'Part VIII-Threshold Criteria'!B10</f>
        <v>0</v>
      </c>
      <c r="C1104" s="1707">
        <f>'Part VIII-Threshold Criteria'!C10</f>
        <v>0</v>
      </c>
      <c r="D1104" s="1707">
        <f>'Part VIII-Threshold Criteria'!D10</f>
        <v>0</v>
      </c>
      <c r="E1104" s="1707">
        <f>'Part VIII-Threshold Criteria'!E10</f>
        <v>0</v>
      </c>
      <c r="F1104" s="1707">
        <f>'Part VIII-Threshold Criteria'!F10</f>
        <v>0</v>
      </c>
      <c r="G1104" s="1707">
        <f>'Part VIII-Threshold Criteria'!G10</f>
        <v>0</v>
      </c>
      <c r="H1104" s="1707">
        <f>'Part VIII-Threshold Criteria'!H10</f>
        <v>0</v>
      </c>
      <c r="I1104" s="1707">
        <f>'Part VIII-Threshold Criteria'!I10</f>
        <v>0</v>
      </c>
      <c r="J1104" s="1707">
        <f>'Part VIII-Threshold Criteria'!J10</f>
        <v>0</v>
      </c>
      <c r="K1104" s="1707">
        <f>'Part VIII-Threshold Criteria'!K10</f>
        <v>0</v>
      </c>
      <c r="L1104" s="1707">
        <f>'Part VIII-Threshold Criteria'!L10</f>
        <v>0</v>
      </c>
      <c r="M1104" s="1707">
        <f>'Part VIII-Threshold Criteria'!M10</f>
        <v>0</v>
      </c>
      <c r="N1104" s="1707">
        <f>'Part VIII-Threshold Criteria'!N10</f>
        <v>0</v>
      </c>
      <c r="O1104" s="1707">
        <f>'Part VIII-Threshold Criteria'!O10</f>
        <v>0</v>
      </c>
      <c r="P1104" s="1707">
        <f>'Part VIII-Threshold Criteria'!P10</f>
        <v>0</v>
      </c>
      <c r="Q1104" s="1707">
        <f>'Part VIII-Threshold Criteria'!Q10</f>
        <v>0</v>
      </c>
    </row>
    <row r="1105" spans="1:17">
      <c r="A1105" s="1707" t="str">
        <f>'Part VIII-Threshold Criteria'!A11</f>
        <v>4.)</v>
      </c>
      <c r="B1105" s="1707">
        <f>'Part VIII-Threshold Criteria'!B11</f>
        <v>0</v>
      </c>
      <c r="C1105" s="1707">
        <f>'Part VIII-Threshold Criteria'!C11</f>
        <v>0</v>
      </c>
      <c r="D1105" s="1707">
        <f>'Part VIII-Threshold Criteria'!D11</f>
        <v>0</v>
      </c>
      <c r="E1105" s="1707">
        <f>'Part VIII-Threshold Criteria'!E11</f>
        <v>0</v>
      </c>
      <c r="F1105" s="1707">
        <f>'Part VIII-Threshold Criteria'!F11</f>
        <v>0</v>
      </c>
      <c r="G1105" s="1707">
        <f>'Part VIII-Threshold Criteria'!G11</f>
        <v>0</v>
      </c>
      <c r="H1105" s="1707">
        <f>'Part VIII-Threshold Criteria'!H11</f>
        <v>0</v>
      </c>
      <c r="I1105" s="1707">
        <f>'Part VIII-Threshold Criteria'!I11</f>
        <v>0</v>
      </c>
      <c r="J1105" s="1707">
        <f>'Part VIII-Threshold Criteria'!J11</f>
        <v>0</v>
      </c>
      <c r="K1105" s="1707">
        <f>'Part VIII-Threshold Criteria'!K11</f>
        <v>0</v>
      </c>
      <c r="L1105" s="1707">
        <f>'Part VIII-Threshold Criteria'!L11</f>
        <v>0</v>
      </c>
      <c r="M1105" s="1707">
        <f>'Part VIII-Threshold Criteria'!M11</f>
        <v>0</v>
      </c>
      <c r="N1105" s="1707">
        <f>'Part VIII-Threshold Criteria'!N11</f>
        <v>0</v>
      </c>
      <c r="O1105" s="1707">
        <f>'Part VIII-Threshold Criteria'!O11</f>
        <v>0</v>
      </c>
      <c r="P1105" s="1707">
        <f>'Part VIII-Threshold Criteria'!P11</f>
        <v>0</v>
      </c>
      <c r="Q1105" s="1707">
        <f>'Part VIII-Threshold Criteria'!Q11</f>
        <v>0</v>
      </c>
    </row>
    <row r="1106" spans="1:17">
      <c r="A1106" s="1707" t="str">
        <f>'Part VIII-Threshold Criteria'!A12</f>
        <v>5.)</v>
      </c>
      <c r="B1106" s="1707">
        <f>'Part VIII-Threshold Criteria'!B12</f>
        <v>0</v>
      </c>
      <c r="C1106" s="1707">
        <f>'Part VIII-Threshold Criteria'!C12</f>
        <v>0</v>
      </c>
      <c r="D1106" s="1707">
        <f>'Part VIII-Threshold Criteria'!D12</f>
        <v>0</v>
      </c>
      <c r="E1106" s="1707">
        <f>'Part VIII-Threshold Criteria'!E12</f>
        <v>0</v>
      </c>
      <c r="F1106" s="1707">
        <f>'Part VIII-Threshold Criteria'!F12</f>
        <v>0</v>
      </c>
      <c r="G1106" s="1707">
        <f>'Part VIII-Threshold Criteria'!G12</f>
        <v>0</v>
      </c>
      <c r="H1106" s="1707">
        <f>'Part VIII-Threshold Criteria'!H12</f>
        <v>0</v>
      </c>
      <c r="I1106" s="1707">
        <f>'Part VIII-Threshold Criteria'!I12</f>
        <v>0</v>
      </c>
      <c r="J1106" s="1707">
        <f>'Part VIII-Threshold Criteria'!J12</f>
        <v>0</v>
      </c>
      <c r="K1106" s="1707">
        <f>'Part VIII-Threshold Criteria'!K12</f>
        <v>0</v>
      </c>
      <c r="L1106" s="1707">
        <f>'Part VIII-Threshold Criteria'!L12</f>
        <v>0</v>
      </c>
      <c r="M1106" s="1707">
        <f>'Part VIII-Threshold Criteria'!M12</f>
        <v>0</v>
      </c>
      <c r="N1106" s="1707">
        <f>'Part VIII-Threshold Criteria'!N12</f>
        <v>0</v>
      </c>
      <c r="O1106" s="1707">
        <f>'Part VIII-Threshold Criteria'!O12</f>
        <v>0</v>
      </c>
      <c r="P1106" s="1707">
        <f>'Part VIII-Threshold Criteria'!P12</f>
        <v>0</v>
      </c>
      <c r="Q1106" s="1707">
        <f>'Part VIII-Threshold Criteria'!Q12</f>
        <v>0</v>
      </c>
    </row>
    <row r="1107" spans="1:17">
      <c r="A1107" s="1707" t="str">
        <f>'Part VIII-Threshold Criteria'!A13</f>
        <v>6.)</v>
      </c>
      <c r="B1107" s="1707">
        <f>'Part VIII-Threshold Criteria'!B13</f>
        <v>0</v>
      </c>
      <c r="C1107" s="1707">
        <f>'Part VIII-Threshold Criteria'!C13</f>
        <v>0</v>
      </c>
      <c r="D1107" s="1707">
        <f>'Part VIII-Threshold Criteria'!D13</f>
        <v>0</v>
      </c>
      <c r="E1107" s="1707">
        <f>'Part VIII-Threshold Criteria'!E13</f>
        <v>0</v>
      </c>
      <c r="F1107" s="1707">
        <f>'Part VIII-Threshold Criteria'!F13</f>
        <v>0</v>
      </c>
      <c r="G1107" s="1707">
        <f>'Part VIII-Threshold Criteria'!G13</f>
        <v>0</v>
      </c>
      <c r="H1107" s="1707">
        <f>'Part VIII-Threshold Criteria'!H13</f>
        <v>0</v>
      </c>
      <c r="I1107" s="1707">
        <f>'Part VIII-Threshold Criteria'!I13</f>
        <v>0</v>
      </c>
      <c r="J1107" s="1707">
        <f>'Part VIII-Threshold Criteria'!J13</f>
        <v>0</v>
      </c>
      <c r="K1107" s="1707">
        <f>'Part VIII-Threshold Criteria'!K13</f>
        <v>0</v>
      </c>
      <c r="L1107" s="1707">
        <f>'Part VIII-Threshold Criteria'!L13</f>
        <v>0</v>
      </c>
      <c r="M1107" s="1707">
        <f>'Part VIII-Threshold Criteria'!M13</f>
        <v>0</v>
      </c>
      <c r="N1107" s="1707">
        <f>'Part VIII-Threshold Criteria'!N13</f>
        <v>0</v>
      </c>
      <c r="O1107" s="1707">
        <f>'Part VIII-Threshold Criteria'!O13</f>
        <v>0</v>
      </c>
      <c r="P1107" s="1707">
        <f>'Part VIII-Threshold Criteria'!P13</f>
        <v>0</v>
      </c>
      <c r="Q1107" s="1707">
        <f>'Part VIII-Threshold Criteria'!Q13</f>
        <v>0</v>
      </c>
    </row>
    <row r="1108" spans="1:17">
      <c r="A1108" s="1707" t="str">
        <f>'Part VIII-Threshold Criteria'!A14</f>
        <v>7.)</v>
      </c>
      <c r="B1108" s="1707">
        <f>'Part VIII-Threshold Criteria'!B14</f>
        <v>0</v>
      </c>
      <c r="C1108" s="1707">
        <f>'Part VIII-Threshold Criteria'!C14</f>
        <v>0</v>
      </c>
      <c r="D1108" s="1707">
        <f>'Part VIII-Threshold Criteria'!D14</f>
        <v>0</v>
      </c>
      <c r="E1108" s="1707">
        <f>'Part VIII-Threshold Criteria'!E14</f>
        <v>0</v>
      </c>
      <c r="F1108" s="1707">
        <f>'Part VIII-Threshold Criteria'!F14</f>
        <v>0</v>
      </c>
      <c r="G1108" s="1707">
        <f>'Part VIII-Threshold Criteria'!G14</f>
        <v>0</v>
      </c>
      <c r="H1108" s="1707">
        <f>'Part VIII-Threshold Criteria'!H14</f>
        <v>0</v>
      </c>
      <c r="I1108" s="1707">
        <f>'Part VIII-Threshold Criteria'!I14</f>
        <v>0</v>
      </c>
      <c r="J1108" s="1707">
        <f>'Part VIII-Threshold Criteria'!J14</f>
        <v>0</v>
      </c>
      <c r="K1108" s="1707">
        <f>'Part VIII-Threshold Criteria'!K14</f>
        <v>0</v>
      </c>
      <c r="L1108" s="1707">
        <f>'Part VIII-Threshold Criteria'!L14</f>
        <v>0</v>
      </c>
      <c r="M1108" s="1707">
        <f>'Part VIII-Threshold Criteria'!M14</f>
        <v>0</v>
      </c>
      <c r="N1108" s="1707">
        <f>'Part VIII-Threshold Criteria'!N14</f>
        <v>0</v>
      </c>
      <c r="O1108" s="1707">
        <f>'Part VIII-Threshold Criteria'!O14</f>
        <v>0</v>
      </c>
      <c r="P1108" s="1707">
        <f>'Part VIII-Threshold Criteria'!P14</f>
        <v>0</v>
      </c>
      <c r="Q1108" s="1707">
        <f>'Part VIII-Threshold Criteria'!Q14</f>
        <v>0</v>
      </c>
    </row>
    <row r="1109" spans="1:17">
      <c r="A1109" s="1707" t="str">
        <f>'Part VIII-Threshold Criteria'!A15</f>
        <v xml:space="preserve">8.) </v>
      </c>
      <c r="B1109" s="1707">
        <f>'Part VIII-Threshold Criteria'!B15</f>
        <v>0</v>
      </c>
      <c r="C1109" s="1707">
        <f>'Part VIII-Threshold Criteria'!C15</f>
        <v>0</v>
      </c>
      <c r="D1109" s="1707">
        <f>'Part VIII-Threshold Criteria'!D15</f>
        <v>0</v>
      </c>
      <c r="E1109" s="1707">
        <f>'Part VIII-Threshold Criteria'!E15</f>
        <v>0</v>
      </c>
      <c r="F1109" s="1707">
        <f>'Part VIII-Threshold Criteria'!F15</f>
        <v>0</v>
      </c>
      <c r="G1109" s="1707">
        <f>'Part VIII-Threshold Criteria'!G15</f>
        <v>0</v>
      </c>
      <c r="H1109" s="1707">
        <f>'Part VIII-Threshold Criteria'!H15</f>
        <v>0</v>
      </c>
      <c r="I1109" s="1707">
        <f>'Part VIII-Threshold Criteria'!I15</f>
        <v>0</v>
      </c>
      <c r="J1109" s="1707">
        <f>'Part VIII-Threshold Criteria'!J15</f>
        <v>0</v>
      </c>
      <c r="K1109" s="1707">
        <f>'Part VIII-Threshold Criteria'!K15</f>
        <v>0</v>
      </c>
      <c r="L1109" s="1707">
        <f>'Part VIII-Threshold Criteria'!L15</f>
        <v>0</v>
      </c>
      <c r="M1109" s="1707">
        <f>'Part VIII-Threshold Criteria'!M15</f>
        <v>0</v>
      </c>
      <c r="N1109" s="1707">
        <f>'Part VIII-Threshold Criteria'!N15</f>
        <v>0</v>
      </c>
      <c r="O1109" s="1707">
        <f>'Part VIII-Threshold Criteria'!O15</f>
        <v>0</v>
      </c>
      <c r="P1109" s="1707">
        <f>'Part VIII-Threshold Criteria'!P15</f>
        <v>0</v>
      </c>
      <c r="Q1109" s="1707">
        <f>'Part VIII-Threshold Criteria'!Q15</f>
        <v>0</v>
      </c>
    </row>
    <row r="1110" spans="1:17">
      <c r="A1110" s="1707" t="str">
        <f>'Part VIII-Threshold Criteria'!A16</f>
        <v>9.)</v>
      </c>
      <c r="B1110" s="1707">
        <f>'Part VIII-Threshold Criteria'!B16</f>
        <v>0</v>
      </c>
      <c r="C1110" s="1707">
        <f>'Part VIII-Threshold Criteria'!C16</f>
        <v>0</v>
      </c>
      <c r="D1110" s="1707">
        <f>'Part VIII-Threshold Criteria'!D16</f>
        <v>0</v>
      </c>
      <c r="E1110" s="1707">
        <f>'Part VIII-Threshold Criteria'!E16</f>
        <v>0</v>
      </c>
      <c r="F1110" s="1707">
        <f>'Part VIII-Threshold Criteria'!F16</f>
        <v>0</v>
      </c>
      <c r="G1110" s="1707">
        <f>'Part VIII-Threshold Criteria'!G16</f>
        <v>0</v>
      </c>
      <c r="H1110" s="1707">
        <f>'Part VIII-Threshold Criteria'!H16</f>
        <v>0</v>
      </c>
      <c r="I1110" s="1707">
        <f>'Part VIII-Threshold Criteria'!I16</f>
        <v>0</v>
      </c>
      <c r="J1110" s="1707">
        <f>'Part VIII-Threshold Criteria'!J16</f>
        <v>0</v>
      </c>
      <c r="K1110" s="1707">
        <f>'Part VIII-Threshold Criteria'!K16</f>
        <v>0</v>
      </c>
      <c r="L1110" s="1707">
        <f>'Part VIII-Threshold Criteria'!L16</f>
        <v>0</v>
      </c>
      <c r="M1110" s="1707">
        <f>'Part VIII-Threshold Criteria'!M16</f>
        <v>0</v>
      </c>
      <c r="N1110" s="1707">
        <f>'Part VIII-Threshold Criteria'!N16</f>
        <v>0</v>
      </c>
      <c r="O1110" s="1707">
        <f>'Part VIII-Threshold Criteria'!O16</f>
        <v>0</v>
      </c>
      <c r="P1110" s="1707">
        <f>'Part VIII-Threshold Criteria'!P16</f>
        <v>0</v>
      </c>
      <c r="Q1110" s="1707">
        <f>'Part VIII-Threshold Criteria'!Q16</f>
        <v>0</v>
      </c>
    </row>
    <row r="1111" spans="1:17">
      <c r="A1111" s="1707" t="str">
        <f>'Part VIII-Threshold Criteria'!A17</f>
        <v>10.)</v>
      </c>
      <c r="B1111" s="1707">
        <f>'Part VIII-Threshold Criteria'!B17</f>
        <v>0</v>
      </c>
      <c r="C1111" s="1707">
        <f>'Part VIII-Threshold Criteria'!C17</f>
        <v>0</v>
      </c>
      <c r="D1111" s="1707">
        <f>'Part VIII-Threshold Criteria'!D17</f>
        <v>0</v>
      </c>
      <c r="E1111" s="1707">
        <f>'Part VIII-Threshold Criteria'!E17</f>
        <v>0</v>
      </c>
      <c r="F1111" s="1707">
        <f>'Part VIII-Threshold Criteria'!F17</f>
        <v>0</v>
      </c>
      <c r="G1111" s="1707">
        <f>'Part VIII-Threshold Criteria'!G17</f>
        <v>0</v>
      </c>
      <c r="H1111" s="1707">
        <f>'Part VIII-Threshold Criteria'!H17</f>
        <v>0</v>
      </c>
      <c r="I1111" s="1707">
        <f>'Part VIII-Threshold Criteria'!I17</f>
        <v>0</v>
      </c>
      <c r="J1111" s="1707">
        <f>'Part VIII-Threshold Criteria'!J17</f>
        <v>0</v>
      </c>
      <c r="K1111" s="1707">
        <f>'Part VIII-Threshold Criteria'!K17</f>
        <v>0</v>
      </c>
      <c r="L1111" s="1707">
        <f>'Part VIII-Threshold Criteria'!L17</f>
        <v>0</v>
      </c>
      <c r="M1111" s="1707">
        <f>'Part VIII-Threshold Criteria'!M17</f>
        <v>0</v>
      </c>
      <c r="N1111" s="1707">
        <f>'Part VIII-Threshold Criteria'!N17</f>
        <v>0</v>
      </c>
      <c r="O1111" s="1707">
        <f>'Part VIII-Threshold Criteria'!O17</f>
        <v>0</v>
      </c>
      <c r="P1111" s="1707">
        <f>'Part VIII-Threshold Criteria'!P17</f>
        <v>0</v>
      </c>
      <c r="Q1111" s="1707">
        <f>'Part VIII-Threshold Criteria'!Q17</f>
        <v>0</v>
      </c>
    </row>
    <row r="1112" spans="1:17">
      <c r="A1112" s="1707" t="str">
        <f>'Part VIII-Threshold Criteria'!A18</f>
        <v>11.)</v>
      </c>
      <c r="B1112" s="1707">
        <f>'Part VIII-Threshold Criteria'!B18</f>
        <v>0</v>
      </c>
      <c r="C1112" s="1707">
        <f>'Part VIII-Threshold Criteria'!C18</f>
        <v>0</v>
      </c>
      <c r="D1112" s="1707">
        <f>'Part VIII-Threshold Criteria'!D18</f>
        <v>0</v>
      </c>
      <c r="E1112" s="1707">
        <f>'Part VIII-Threshold Criteria'!E18</f>
        <v>0</v>
      </c>
      <c r="F1112" s="1707">
        <f>'Part VIII-Threshold Criteria'!F18</f>
        <v>0</v>
      </c>
      <c r="G1112" s="1707">
        <f>'Part VIII-Threshold Criteria'!G18</f>
        <v>0</v>
      </c>
      <c r="H1112" s="1707">
        <f>'Part VIII-Threshold Criteria'!H18</f>
        <v>0</v>
      </c>
      <c r="I1112" s="1707">
        <f>'Part VIII-Threshold Criteria'!I18</f>
        <v>0</v>
      </c>
      <c r="J1112" s="1707">
        <f>'Part VIII-Threshold Criteria'!J18</f>
        <v>0</v>
      </c>
      <c r="K1112" s="1707">
        <f>'Part VIII-Threshold Criteria'!K18</f>
        <v>0</v>
      </c>
      <c r="L1112" s="1707">
        <f>'Part VIII-Threshold Criteria'!L18</f>
        <v>0</v>
      </c>
      <c r="M1112" s="1707">
        <f>'Part VIII-Threshold Criteria'!M18</f>
        <v>0</v>
      </c>
      <c r="N1112" s="1707">
        <f>'Part VIII-Threshold Criteria'!N18</f>
        <v>0</v>
      </c>
      <c r="O1112" s="1707">
        <f>'Part VIII-Threshold Criteria'!O18</f>
        <v>0</v>
      </c>
      <c r="P1112" s="1707">
        <f>'Part VIII-Threshold Criteria'!P18</f>
        <v>0</v>
      </c>
      <c r="Q1112" s="1707">
        <f>'Part VIII-Threshold Criteria'!Q18</f>
        <v>0</v>
      </c>
    </row>
    <row r="1113" spans="1:17">
      <c r="A1113" s="1707" t="str">
        <f>'Part VIII-Threshold Criteria'!A19</f>
        <v>12.)</v>
      </c>
      <c r="B1113" s="1707">
        <f>'Part VIII-Threshold Criteria'!B19</f>
        <v>0</v>
      </c>
      <c r="C1113" s="1707">
        <f>'Part VIII-Threshold Criteria'!C19</f>
        <v>0</v>
      </c>
      <c r="D1113" s="1707">
        <f>'Part VIII-Threshold Criteria'!D19</f>
        <v>0</v>
      </c>
      <c r="E1113" s="1707">
        <f>'Part VIII-Threshold Criteria'!E19</f>
        <v>0</v>
      </c>
      <c r="F1113" s="1707">
        <f>'Part VIII-Threshold Criteria'!F19</f>
        <v>0</v>
      </c>
      <c r="G1113" s="1707">
        <f>'Part VIII-Threshold Criteria'!G19</f>
        <v>0</v>
      </c>
      <c r="H1113" s="1707">
        <f>'Part VIII-Threshold Criteria'!H19</f>
        <v>0</v>
      </c>
      <c r="I1113" s="1707">
        <f>'Part VIII-Threshold Criteria'!I19</f>
        <v>0</v>
      </c>
      <c r="J1113" s="1707">
        <f>'Part VIII-Threshold Criteria'!J19</f>
        <v>0</v>
      </c>
      <c r="K1113" s="1707">
        <f>'Part VIII-Threshold Criteria'!K19</f>
        <v>0</v>
      </c>
      <c r="L1113" s="1707">
        <f>'Part VIII-Threshold Criteria'!L19</f>
        <v>0</v>
      </c>
      <c r="M1113" s="1707">
        <f>'Part VIII-Threshold Criteria'!M19</f>
        <v>0</v>
      </c>
      <c r="N1113" s="1707">
        <f>'Part VIII-Threshold Criteria'!N19</f>
        <v>0</v>
      </c>
      <c r="O1113" s="1707">
        <f>'Part VIII-Threshold Criteria'!O19</f>
        <v>0</v>
      </c>
      <c r="P1113" s="1707">
        <f>'Part VIII-Threshold Criteria'!P19</f>
        <v>0</v>
      </c>
      <c r="Q1113" s="1707">
        <f>'Part VIII-Threshold Criteria'!Q19</f>
        <v>0</v>
      </c>
    </row>
    <row r="1114" spans="1:17">
      <c r="A1114" s="1707" t="str">
        <f>'Part VIII-Threshold Criteria'!A20</f>
        <v>13.)</v>
      </c>
      <c r="B1114" s="1707">
        <f>'Part VIII-Threshold Criteria'!B20</f>
        <v>0</v>
      </c>
      <c r="C1114" s="1707">
        <f>'Part VIII-Threshold Criteria'!C20</f>
        <v>0</v>
      </c>
      <c r="D1114" s="1707">
        <f>'Part VIII-Threshold Criteria'!D20</f>
        <v>0</v>
      </c>
      <c r="E1114" s="1707">
        <f>'Part VIII-Threshold Criteria'!E20</f>
        <v>0</v>
      </c>
      <c r="F1114" s="1707">
        <f>'Part VIII-Threshold Criteria'!F20</f>
        <v>0</v>
      </c>
      <c r="G1114" s="1707">
        <f>'Part VIII-Threshold Criteria'!G20</f>
        <v>0</v>
      </c>
      <c r="H1114" s="1707">
        <f>'Part VIII-Threshold Criteria'!H20</f>
        <v>0</v>
      </c>
      <c r="I1114" s="1707">
        <f>'Part VIII-Threshold Criteria'!I20</f>
        <v>0</v>
      </c>
      <c r="J1114" s="1707">
        <f>'Part VIII-Threshold Criteria'!J20</f>
        <v>0</v>
      </c>
      <c r="K1114" s="1707">
        <f>'Part VIII-Threshold Criteria'!K20</f>
        <v>0</v>
      </c>
      <c r="L1114" s="1707">
        <f>'Part VIII-Threshold Criteria'!L20</f>
        <v>0</v>
      </c>
      <c r="M1114" s="1707">
        <f>'Part VIII-Threshold Criteria'!M20</f>
        <v>0</v>
      </c>
      <c r="N1114" s="1707">
        <f>'Part VIII-Threshold Criteria'!N20</f>
        <v>0</v>
      </c>
      <c r="O1114" s="1707">
        <f>'Part VIII-Threshold Criteria'!O20</f>
        <v>0</v>
      </c>
      <c r="P1114" s="1707">
        <f>'Part VIII-Threshold Criteria'!P20</f>
        <v>0</v>
      </c>
      <c r="Q1114" s="1707">
        <f>'Part VIII-Threshold Criteria'!Q20</f>
        <v>0</v>
      </c>
    </row>
    <row r="1115" spans="1:17">
      <c r="A1115" s="1707" t="str">
        <f>'Part VIII-Threshold Criteria'!A21</f>
        <v>14.)</v>
      </c>
      <c r="B1115" s="1707">
        <f>'Part VIII-Threshold Criteria'!B21</f>
        <v>0</v>
      </c>
      <c r="C1115" s="1707">
        <f>'Part VIII-Threshold Criteria'!C21</f>
        <v>0</v>
      </c>
      <c r="D1115" s="1707">
        <f>'Part VIII-Threshold Criteria'!D21</f>
        <v>0</v>
      </c>
      <c r="E1115" s="1707">
        <f>'Part VIII-Threshold Criteria'!E21</f>
        <v>0</v>
      </c>
      <c r="F1115" s="1707">
        <f>'Part VIII-Threshold Criteria'!F21</f>
        <v>0</v>
      </c>
      <c r="G1115" s="1707">
        <f>'Part VIII-Threshold Criteria'!G21</f>
        <v>0</v>
      </c>
      <c r="H1115" s="1707">
        <f>'Part VIII-Threshold Criteria'!H21</f>
        <v>0</v>
      </c>
      <c r="I1115" s="1707">
        <f>'Part VIII-Threshold Criteria'!I21</f>
        <v>0</v>
      </c>
      <c r="J1115" s="1707">
        <f>'Part VIII-Threshold Criteria'!J21</f>
        <v>0</v>
      </c>
      <c r="K1115" s="1707">
        <f>'Part VIII-Threshold Criteria'!K21</f>
        <v>0</v>
      </c>
      <c r="L1115" s="1707">
        <f>'Part VIII-Threshold Criteria'!L21</f>
        <v>0</v>
      </c>
      <c r="M1115" s="1707">
        <f>'Part VIII-Threshold Criteria'!M21</f>
        <v>0</v>
      </c>
      <c r="N1115" s="1707">
        <f>'Part VIII-Threshold Criteria'!N21</f>
        <v>0</v>
      </c>
      <c r="O1115" s="1707">
        <f>'Part VIII-Threshold Criteria'!O21</f>
        <v>0</v>
      </c>
      <c r="P1115" s="1707">
        <f>'Part VIII-Threshold Criteria'!P21</f>
        <v>0</v>
      </c>
      <c r="Q1115" s="1707">
        <f>'Part VIII-Threshold Criteria'!Q21</f>
        <v>0</v>
      </c>
    </row>
    <row r="1116" spans="1:17">
      <c r="A1116" s="1707" t="str">
        <f>'Part VIII-Threshold Criteria'!A22</f>
        <v xml:space="preserve">15.) </v>
      </c>
      <c r="B1116" s="1707">
        <f>'Part VIII-Threshold Criteria'!B22</f>
        <v>0</v>
      </c>
      <c r="C1116" s="1707">
        <f>'Part VIII-Threshold Criteria'!C22</f>
        <v>0</v>
      </c>
      <c r="D1116" s="1707">
        <f>'Part VIII-Threshold Criteria'!D22</f>
        <v>0</v>
      </c>
      <c r="E1116" s="1707">
        <f>'Part VIII-Threshold Criteria'!E22</f>
        <v>0</v>
      </c>
      <c r="F1116" s="1707">
        <f>'Part VIII-Threshold Criteria'!F22</f>
        <v>0</v>
      </c>
      <c r="G1116" s="1707">
        <f>'Part VIII-Threshold Criteria'!G22</f>
        <v>0</v>
      </c>
      <c r="H1116" s="1707">
        <f>'Part VIII-Threshold Criteria'!H22</f>
        <v>0</v>
      </c>
      <c r="I1116" s="1707">
        <f>'Part VIII-Threshold Criteria'!I22</f>
        <v>0</v>
      </c>
      <c r="J1116" s="1707">
        <f>'Part VIII-Threshold Criteria'!J22</f>
        <v>0</v>
      </c>
      <c r="K1116" s="1707">
        <f>'Part VIII-Threshold Criteria'!K22</f>
        <v>0</v>
      </c>
      <c r="L1116" s="1707">
        <f>'Part VIII-Threshold Criteria'!L22</f>
        <v>0</v>
      </c>
      <c r="M1116" s="1707">
        <f>'Part VIII-Threshold Criteria'!M22</f>
        <v>0</v>
      </c>
      <c r="N1116" s="1707">
        <f>'Part VIII-Threshold Criteria'!N22</f>
        <v>0</v>
      </c>
      <c r="O1116" s="1707">
        <f>'Part VIII-Threshold Criteria'!O22</f>
        <v>0</v>
      </c>
      <c r="P1116" s="1707">
        <f>'Part VIII-Threshold Criteria'!P22</f>
        <v>0</v>
      </c>
      <c r="Q1116" s="1707">
        <f>'Part VIII-Threshold Criteria'!Q22</f>
        <v>0</v>
      </c>
    </row>
    <row r="1117" spans="1:17">
      <c r="A1117" s="1707" t="str">
        <f>'Part VIII-Threshold Criteria'!A23</f>
        <v>16.)</v>
      </c>
      <c r="B1117" s="1707">
        <f>'Part VIII-Threshold Criteria'!B23</f>
        <v>0</v>
      </c>
      <c r="C1117" s="1707">
        <f>'Part VIII-Threshold Criteria'!C23</f>
        <v>0</v>
      </c>
      <c r="D1117" s="1707">
        <f>'Part VIII-Threshold Criteria'!D23</f>
        <v>0</v>
      </c>
      <c r="E1117" s="1707">
        <f>'Part VIII-Threshold Criteria'!E23</f>
        <v>0</v>
      </c>
      <c r="F1117" s="1707">
        <f>'Part VIII-Threshold Criteria'!F23</f>
        <v>0</v>
      </c>
      <c r="G1117" s="1707">
        <f>'Part VIII-Threshold Criteria'!G23</f>
        <v>0</v>
      </c>
      <c r="H1117" s="1707">
        <f>'Part VIII-Threshold Criteria'!H23</f>
        <v>0</v>
      </c>
      <c r="I1117" s="1707">
        <f>'Part VIII-Threshold Criteria'!I23</f>
        <v>0</v>
      </c>
      <c r="J1117" s="1707">
        <f>'Part VIII-Threshold Criteria'!J23</f>
        <v>0</v>
      </c>
      <c r="K1117" s="1707">
        <f>'Part VIII-Threshold Criteria'!K23</f>
        <v>0</v>
      </c>
      <c r="L1117" s="1707">
        <f>'Part VIII-Threshold Criteria'!L23</f>
        <v>0</v>
      </c>
      <c r="M1117" s="1707">
        <f>'Part VIII-Threshold Criteria'!M23</f>
        <v>0</v>
      </c>
      <c r="N1117" s="1707">
        <f>'Part VIII-Threshold Criteria'!N23</f>
        <v>0</v>
      </c>
      <c r="O1117" s="1707">
        <f>'Part VIII-Threshold Criteria'!O23</f>
        <v>0</v>
      </c>
      <c r="P1117" s="1707">
        <f>'Part VIII-Threshold Criteria'!P23</f>
        <v>0</v>
      </c>
      <c r="Q1117" s="1707">
        <f>'Part VIII-Threshold Criteria'!Q23</f>
        <v>0</v>
      </c>
    </row>
    <row r="1118" spans="1:17">
      <c r="A1118" s="1707" t="str">
        <f>'Part VIII-Threshold Criteria'!A24</f>
        <v>17.)</v>
      </c>
      <c r="B1118" s="1707">
        <f>'Part VIII-Threshold Criteria'!B24</f>
        <v>0</v>
      </c>
      <c r="C1118" s="1707">
        <f>'Part VIII-Threshold Criteria'!C24</f>
        <v>0</v>
      </c>
      <c r="D1118" s="1707">
        <f>'Part VIII-Threshold Criteria'!D24</f>
        <v>0</v>
      </c>
      <c r="E1118" s="1707">
        <f>'Part VIII-Threshold Criteria'!E24</f>
        <v>0</v>
      </c>
      <c r="F1118" s="1707">
        <f>'Part VIII-Threshold Criteria'!F24</f>
        <v>0</v>
      </c>
      <c r="G1118" s="1707">
        <f>'Part VIII-Threshold Criteria'!G24</f>
        <v>0</v>
      </c>
      <c r="H1118" s="1707">
        <f>'Part VIII-Threshold Criteria'!H24</f>
        <v>0</v>
      </c>
      <c r="I1118" s="1707">
        <f>'Part VIII-Threshold Criteria'!I24</f>
        <v>0</v>
      </c>
      <c r="J1118" s="1707">
        <f>'Part VIII-Threshold Criteria'!J24</f>
        <v>0</v>
      </c>
      <c r="K1118" s="1707">
        <f>'Part VIII-Threshold Criteria'!K24</f>
        <v>0</v>
      </c>
      <c r="L1118" s="1707">
        <f>'Part VIII-Threshold Criteria'!L24</f>
        <v>0</v>
      </c>
      <c r="M1118" s="1707">
        <f>'Part VIII-Threshold Criteria'!M24</f>
        <v>0</v>
      </c>
      <c r="N1118" s="1707">
        <f>'Part VIII-Threshold Criteria'!N24</f>
        <v>0</v>
      </c>
      <c r="O1118" s="1707">
        <f>'Part VIII-Threshold Criteria'!O24</f>
        <v>0</v>
      </c>
      <c r="P1118" s="1707">
        <f>'Part VIII-Threshold Criteria'!P24</f>
        <v>0</v>
      </c>
      <c r="Q1118" s="1707">
        <f>'Part VIII-Threshold Criteria'!Q24</f>
        <v>0</v>
      </c>
    </row>
    <row r="1119" spans="1:17">
      <c r="A1119" s="1707" t="str">
        <f>'Part VIII-Threshold Criteria'!A25</f>
        <v>18.)</v>
      </c>
      <c r="B1119" s="1707">
        <f>'Part VIII-Threshold Criteria'!B25</f>
        <v>0</v>
      </c>
      <c r="C1119" s="1707">
        <f>'Part VIII-Threshold Criteria'!C25</f>
        <v>0</v>
      </c>
      <c r="D1119" s="1707">
        <f>'Part VIII-Threshold Criteria'!D25</f>
        <v>0</v>
      </c>
      <c r="E1119" s="1707">
        <f>'Part VIII-Threshold Criteria'!E25</f>
        <v>0</v>
      </c>
      <c r="F1119" s="1707">
        <f>'Part VIII-Threshold Criteria'!F25</f>
        <v>0</v>
      </c>
      <c r="G1119" s="1707">
        <f>'Part VIII-Threshold Criteria'!G25</f>
        <v>0</v>
      </c>
      <c r="H1119" s="1707">
        <f>'Part VIII-Threshold Criteria'!H25</f>
        <v>0</v>
      </c>
      <c r="I1119" s="1707">
        <f>'Part VIII-Threshold Criteria'!I25</f>
        <v>0</v>
      </c>
      <c r="J1119" s="1707">
        <f>'Part VIII-Threshold Criteria'!J25</f>
        <v>0</v>
      </c>
      <c r="K1119" s="1707">
        <f>'Part VIII-Threshold Criteria'!K25</f>
        <v>0</v>
      </c>
      <c r="L1119" s="1707">
        <f>'Part VIII-Threshold Criteria'!L25</f>
        <v>0</v>
      </c>
      <c r="M1119" s="1707">
        <f>'Part VIII-Threshold Criteria'!M25</f>
        <v>0</v>
      </c>
      <c r="N1119" s="1707">
        <f>'Part VIII-Threshold Criteria'!N25</f>
        <v>0</v>
      </c>
      <c r="O1119" s="1707">
        <f>'Part VIII-Threshold Criteria'!O25</f>
        <v>0</v>
      </c>
      <c r="P1119" s="1707">
        <f>'Part VIII-Threshold Criteria'!P25</f>
        <v>0</v>
      </c>
      <c r="Q1119" s="1707">
        <f>'Part VIII-Threshold Criteria'!Q25</f>
        <v>0</v>
      </c>
    </row>
    <row r="1120" spans="1:17">
      <c r="A1120" s="1707" t="str">
        <f>'Part VIII-Threshold Criteria'!A26</f>
        <v>19.)</v>
      </c>
      <c r="B1120" s="1707">
        <f>'Part VIII-Threshold Criteria'!B26</f>
        <v>0</v>
      </c>
      <c r="C1120" s="1707">
        <f>'Part VIII-Threshold Criteria'!C26</f>
        <v>0</v>
      </c>
      <c r="D1120" s="1707">
        <f>'Part VIII-Threshold Criteria'!D26</f>
        <v>0</v>
      </c>
      <c r="E1120" s="1707">
        <f>'Part VIII-Threshold Criteria'!E26</f>
        <v>0</v>
      </c>
      <c r="F1120" s="1707">
        <f>'Part VIII-Threshold Criteria'!F26</f>
        <v>0</v>
      </c>
      <c r="G1120" s="1707">
        <f>'Part VIII-Threshold Criteria'!G26</f>
        <v>0</v>
      </c>
      <c r="H1120" s="1707">
        <f>'Part VIII-Threshold Criteria'!H26</f>
        <v>0</v>
      </c>
      <c r="I1120" s="1707">
        <f>'Part VIII-Threshold Criteria'!I26</f>
        <v>0</v>
      </c>
      <c r="J1120" s="1707">
        <f>'Part VIII-Threshold Criteria'!J26</f>
        <v>0</v>
      </c>
      <c r="K1120" s="1707">
        <f>'Part VIII-Threshold Criteria'!K26</f>
        <v>0</v>
      </c>
      <c r="L1120" s="1707">
        <f>'Part VIII-Threshold Criteria'!L26</f>
        <v>0</v>
      </c>
      <c r="M1120" s="1707">
        <f>'Part VIII-Threshold Criteria'!M26</f>
        <v>0</v>
      </c>
      <c r="N1120" s="1707">
        <f>'Part VIII-Threshold Criteria'!N26</f>
        <v>0</v>
      </c>
      <c r="O1120" s="1707">
        <f>'Part VIII-Threshold Criteria'!O26</f>
        <v>0</v>
      </c>
      <c r="P1120" s="1707">
        <f>'Part VIII-Threshold Criteria'!P26</f>
        <v>0</v>
      </c>
      <c r="Q1120" s="1707">
        <f>'Part VIII-Threshold Criteria'!Q26</f>
        <v>0</v>
      </c>
    </row>
    <row r="1121" spans="1:17">
      <c r="A1121" s="1707" t="str">
        <f>'Part VIII-Threshold Criteria'!A27</f>
        <v>20.)</v>
      </c>
      <c r="B1121" s="1707">
        <f>'Part VIII-Threshold Criteria'!B27</f>
        <v>0</v>
      </c>
      <c r="C1121" s="1707">
        <f>'Part VIII-Threshold Criteria'!C27</f>
        <v>0</v>
      </c>
      <c r="D1121" s="1707">
        <f>'Part VIII-Threshold Criteria'!D27</f>
        <v>0</v>
      </c>
      <c r="E1121" s="1707">
        <f>'Part VIII-Threshold Criteria'!E27</f>
        <v>0</v>
      </c>
      <c r="F1121" s="1707">
        <f>'Part VIII-Threshold Criteria'!F27</f>
        <v>0</v>
      </c>
      <c r="G1121" s="1707">
        <f>'Part VIII-Threshold Criteria'!G27</f>
        <v>0</v>
      </c>
      <c r="H1121" s="1707">
        <f>'Part VIII-Threshold Criteria'!H27</f>
        <v>0</v>
      </c>
      <c r="I1121" s="1707">
        <f>'Part VIII-Threshold Criteria'!I27</f>
        <v>0</v>
      </c>
      <c r="J1121" s="1707">
        <f>'Part VIII-Threshold Criteria'!J27</f>
        <v>0</v>
      </c>
      <c r="K1121" s="1707">
        <f>'Part VIII-Threshold Criteria'!K27</f>
        <v>0</v>
      </c>
      <c r="L1121" s="1707">
        <f>'Part VIII-Threshold Criteria'!L27</f>
        <v>0</v>
      </c>
      <c r="M1121" s="1707">
        <f>'Part VIII-Threshold Criteria'!M27</f>
        <v>0</v>
      </c>
      <c r="N1121" s="1707">
        <f>'Part VIII-Threshold Criteria'!N27</f>
        <v>0</v>
      </c>
      <c r="O1121" s="1707">
        <f>'Part VIII-Threshold Criteria'!O27</f>
        <v>0</v>
      </c>
      <c r="P1121" s="1707">
        <f>'Part VIII-Threshold Criteria'!P27</f>
        <v>0</v>
      </c>
      <c r="Q1121" s="1707">
        <f>'Part VIII-Threshold Criteria'!Q27</f>
        <v>0</v>
      </c>
    </row>
    <row r="1123" spans="1:17">
      <c r="A1123" s="1930" t="s">
        <v>622</v>
      </c>
      <c r="B1123" s="1931" t="s">
        <v>2668</v>
      </c>
      <c r="C1123" s="1932"/>
      <c r="D1123" s="1933"/>
      <c r="E1123" s="1933"/>
      <c r="F1123" s="1933"/>
      <c r="G1123" s="1933"/>
      <c r="I1123" s="1934"/>
      <c r="J1123" s="1934"/>
      <c r="K1123" s="1934"/>
      <c r="L1123" s="1836"/>
      <c r="M1123" s="1836"/>
      <c r="O1123" s="1935" t="s">
        <v>1881</v>
      </c>
      <c r="P1123" s="1844">
        <f>'Part VIII-Threshold Criteria'!P29</f>
        <v>0</v>
      </c>
      <c r="Q1123" s="1844">
        <f>'Part VIII-Threshold Criteria'!Q29</f>
        <v>0</v>
      </c>
    </row>
    <row r="1125" spans="1:17">
      <c r="B1125" s="1900" t="s">
        <v>3779</v>
      </c>
      <c r="C1125" s="1900"/>
      <c r="D1125" s="1900"/>
      <c r="E1125" s="1900"/>
      <c r="F1125" s="1900"/>
      <c r="G1125" s="1934"/>
      <c r="H1125" s="1934"/>
      <c r="I1125" s="1934"/>
      <c r="J1125" s="1934"/>
      <c r="K1125" s="1836"/>
      <c r="L1125" s="1836"/>
      <c r="M1125" s="1836"/>
      <c r="N1125" s="1836"/>
      <c r="O1125" s="1836"/>
      <c r="P1125" s="1836"/>
    </row>
    <row r="1126" spans="1:17" ht="409.5">
      <c r="A1126" s="1936" t="str">
        <f>'Part VIII-Threshold Criteria'!A32</f>
        <v xml:space="preserve">Tindall Fields III meets Threshold approval for the following reasons:  a) there are no pending “under consideration” issues where there are any pending funding commitments; b) our development and operating costs in the Core Application Parts IV and V are reasonable and consistent with our historical experience; c) our equity pricing reflects current market conditions at $1.40 for federal and state equity combined; and d) our rent structure includes Section 8 Project Based Voucher rents which have been approved by the Macon Bibb Housing Authority (MHA) at Tab 01-02-01. </v>
      </c>
      <c r="B1126" s="1936">
        <f>'Part VIII-Threshold Criteria'!B32</f>
        <v>0</v>
      </c>
      <c r="C1126" s="1936">
        <f>'Part VIII-Threshold Criteria'!C32</f>
        <v>0</v>
      </c>
      <c r="D1126" s="1936">
        <f>'Part VIII-Threshold Criteria'!D32</f>
        <v>0</v>
      </c>
      <c r="E1126" s="1936">
        <f>'Part VIII-Threshold Criteria'!E32</f>
        <v>0</v>
      </c>
      <c r="F1126" s="1936">
        <f>'Part VIII-Threshold Criteria'!F32</f>
        <v>0</v>
      </c>
      <c r="G1126" s="1936">
        <f>'Part VIII-Threshold Criteria'!G32</f>
        <v>0</v>
      </c>
      <c r="H1126" s="1936">
        <f>'Part VIII-Threshold Criteria'!H32</f>
        <v>0</v>
      </c>
      <c r="I1126" s="1936">
        <f>'Part VIII-Threshold Criteria'!I32</f>
        <v>0</v>
      </c>
      <c r="J1126" s="1936">
        <f>'Part VIII-Threshold Criteria'!J32</f>
        <v>0</v>
      </c>
      <c r="K1126" s="1936">
        <f>'Part VIII-Threshold Criteria'!K32</f>
        <v>0</v>
      </c>
      <c r="L1126" s="1936">
        <f>'Part VIII-Threshold Criteria'!L32</f>
        <v>0</v>
      </c>
      <c r="M1126" s="1936">
        <f>'Part VIII-Threshold Criteria'!M32</f>
        <v>0</v>
      </c>
      <c r="N1126" s="1936">
        <f>'Part VIII-Threshold Criteria'!N32</f>
        <v>0</v>
      </c>
      <c r="O1126" s="1936">
        <f>'Part VIII-Threshold Criteria'!O32</f>
        <v>0</v>
      </c>
      <c r="P1126" s="1936">
        <f>'Part VIII-Threshold Criteria'!P32</f>
        <v>0</v>
      </c>
      <c r="Q1126" s="1936">
        <f>'Part VIII-Threshold Criteria'!Q32</f>
        <v>0</v>
      </c>
    </row>
    <row r="1127" spans="1:17">
      <c r="B1127" s="1937" t="s">
        <v>1880</v>
      </c>
      <c r="C1127" s="1938"/>
      <c r="D1127" s="1939"/>
      <c r="E1127" s="1939"/>
      <c r="F1127" s="1939"/>
      <c r="G1127" s="1939"/>
      <c r="H1127" s="1939"/>
      <c r="I1127" s="1939"/>
      <c r="J1127" s="1939"/>
      <c r="K1127" s="1939"/>
      <c r="L1127" s="1939"/>
      <c r="M1127" s="1939"/>
      <c r="N1127" s="1939"/>
      <c r="O1127" s="1939"/>
      <c r="P1127" s="1939"/>
    </row>
    <row r="1128" spans="1:17">
      <c r="A1128" s="1936">
        <f>'Part VIII-Threshold Criteria'!A34</f>
        <v>0</v>
      </c>
      <c r="B1128" s="1936">
        <f>'Part VIII-Threshold Criteria'!B34</f>
        <v>0</v>
      </c>
      <c r="C1128" s="1936">
        <f>'Part VIII-Threshold Criteria'!C34</f>
        <v>0</v>
      </c>
      <c r="D1128" s="1936">
        <f>'Part VIII-Threshold Criteria'!D34</f>
        <v>0</v>
      </c>
      <c r="E1128" s="1936">
        <f>'Part VIII-Threshold Criteria'!E34</f>
        <v>0</v>
      </c>
      <c r="F1128" s="1936">
        <f>'Part VIII-Threshold Criteria'!F34</f>
        <v>0</v>
      </c>
      <c r="G1128" s="1936">
        <f>'Part VIII-Threshold Criteria'!G34</f>
        <v>0</v>
      </c>
      <c r="H1128" s="1936">
        <f>'Part VIII-Threshold Criteria'!H34</f>
        <v>0</v>
      </c>
      <c r="I1128" s="1936">
        <f>'Part VIII-Threshold Criteria'!I34</f>
        <v>0</v>
      </c>
      <c r="J1128" s="1936">
        <f>'Part VIII-Threshold Criteria'!J34</f>
        <v>0</v>
      </c>
      <c r="K1128" s="1936">
        <f>'Part VIII-Threshold Criteria'!K34</f>
        <v>0</v>
      </c>
      <c r="L1128" s="1936">
        <f>'Part VIII-Threshold Criteria'!L34</f>
        <v>0</v>
      </c>
      <c r="M1128" s="1936">
        <f>'Part VIII-Threshold Criteria'!M34</f>
        <v>0</v>
      </c>
      <c r="N1128" s="1936">
        <f>'Part VIII-Threshold Criteria'!N34</f>
        <v>0</v>
      </c>
      <c r="O1128" s="1936">
        <f>'Part VIII-Threshold Criteria'!O34</f>
        <v>0</v>
      </c>
      <c r="P1128" s="1936">
        <f>'Part VIII-Threshold Criteria'!P34</f>
        <v>0</v>
      </c>
      <c r="Q1128" s="1936">
        <f>'Part VIII-Threshold Criteria'!Q34</f>
        <v>0</v>
      </c>
    </row>
    <row r="1129" spans="1:17">
      <c r="B1129" s="1934"/>
      <c r="C1129" s="1939"/>
      <c r="D1129" s="1939"/>
      <c r="E1129" s="1939"/>
      <c r="F1129" s="1939"/>
      <c r="G1129" s="1939"/>
      <c r="H1129" s="1939"/>
      <c r="I1129" s="1939"/>
      <c r="J1129" s="1939"/>
      <c r="K1129" s="1939"/>
      <c r="L1129" s="1939"/>
      <c r="M1129" s="1939"/>
      <c r="N1129" s="1939"/>
      <c r="O1129" s="1939"/>
      <c r="P1129" s="1939"/>
      <c r="Q1129" s="1836"/>
    </row>
    <row r="1130" spans="1:17">
      <c r="A1130" s="1819" t="s">
        <v>748</v>
      </c>
      <c r="B1130" s="1818" t="s">
        <v>2729</v>
      </c>
      <c r="C1130" s="1818"/>
      <c r="D1130" s="1818"/>
      <c r="E1130" s="1939"/>
      <c r="G1130" s="1844"/>
      <c r="H1130" s="1844"/>
      <c r="I1130" s="1844"/>
      <c r="J1130" s="1629"/>
      <c r="L1130" s="1940"/>
      <c r="M1130" s="1940"/>
      <c r="N1130" s="1940"/>
      <c r="O1130" s="1935" t="s">
        <v>1881</v>
      </c>
      <c r="P1130" s="1844">
        <f>'Part VIII-Threshold Criteria'!P36</f>
        <v>0</v>
      </c>
      <c r="Q1130" s="1844">
        <f>'Part VIII-Threshold Criteria'!Q36</f>
        <v>0</v>
      </c>
    </row>
    <row r="1131" spans="1:17" ht="12.75" customHeight="1">
      <c r="A1131" s="1941" t="s">
        <v>4789</v>
      </c>
      <c r="B1131" s="1941"/>
      <c r="C1131" s="1941"/>
      <c r="D1131" s="1941"/>
      <c r="E1131" s="1941"/>
      <c r="F1131" s="1941"/>
      <c r="G1131" s="1748" t="s">
        <v>2733</v>
      </c>
      <c r="H1131" s="1748"/>
      <c r="I1131" s="1933"/>
      <c r="J1131" s="1629"/>
      <c r="K1131" s="1933" t="s">
        <v>3661</v>
      </c>
      <c r="L1131" s="1933"/>
      <c r="M1131" s="1933"/>
      <c r="N1131" s="1933"/>
    </row>
    <row r="1132" spans="1:17" ht="13.5">
      <c r="A1132" s="1941"/>
      <c r="B1132" s="1941"/>
      <c r="C1132" s="1941"/>
      <c r="D1132" s="1941"/>
      <c r="E1132" s="1941"/>
      <c r="F1132" s="1941"/>
      <c r="G1132" s="1748" t="s">
        <v>348</v>
      </c>
      <c r="H1132" s="1748"/>
      <c r="I1132" s="1933"/>
      <c r="J1132" s="1629"/>
      <c r="K1132" s="478" t="s">
        <v>3662</v>
      </c>
      <c r="L1132" s="478"/>
      <c r="M1132" s="478"/>
      <c r="N1132" s="478"/>
      <c r="P1132" s="1761" t="s">
        <v>2753</v>
      </c>
      <c r="Q1132" s="1942" t="str">
        <f>'Part VIII-Threshold Criteria'!Q38</f>
        <v>Yes</v>
      </c>
    </row>
    <row r="1133" spans="1:17">
      <c r="A1133" s="1941"/>
      <c r="B1133" s="1941"/>
      <c r="C1133" s="1941"/>
      <c r="D1133" s="1941"/>
      <c r="E1133" s="1941"/>
      <c r="F1133" s="1941"/>
      <c r="G1133" s="1933"/>
      <c r="H1133" s="1933"/>
      <c r="I1133" s="1933"/>
      <c r="J1133" s="1629"/>
      <c r="K1133" s="478"/>
      <c r="L1133" s="478"/>
      <c r="M1133" s="478"/>
      <c r="N1133" s="478"/>
    </row>
    <row r="1134" spans="1:17" ht="13.5" customHeight="1">
      <c r="D1134" s="1943" t="s">
        <v>2732</v>
      </c>
      <c r="F1134" s="1944" t="s">
        <v>3475</v>
      </c>
      <c r="G1134" s="1944" t="s">
        <v>3474</v>
      </c>
      <c r="H1134" s="1944"/>
      <c r="I1134" s="1944"/>
      <c r="K1134" s="1944" t="s">
        <v>3475</v>
      </c>
      <c r="L1134" s="1944" t="s">
        <v>3474</v>
      </c>
      <c r="M1134" s="1944"/>
      <c r="N1134" s="1944"/>
    </row>
    <row r="1135" spans="1:17" ht="12.75" customHeight="1">
      <c r="A1135" s="1945" t="s">
        <v>3379</v>
      </c>
      <c r="B1135" s="1945"/>
      <c r="C1135" s="1945"/>
      <c r="D1135" s="1946" t="s">
        <v>573</v>
      </c>
      <c r="E1135" s="1934">
        <v>0</v>
      </c>
      <c r="F1135" s="1947">
        <f>'Part VI-Revenues &amp; Expenses'!$J$104</f>
        <v>0</v>
      </c>
      <c r="G1135" s="1948"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1872" t="str">
        <f>CONCATENATE("x ", F1135," units = ")</f>
        <v xml:space="preserve">x 0 units = </v>
      </c>
      <c r="I1135" s="1949" t="e">
        <f>F1135*G1135</f>
        <v>#N/A</v>
      </c>
      <c r="J1135" s="1629"/>
      <c r="K1135" s="1947">
        <f>'Part VI-Revenues &amp; Expenses'!$J$105</f>
        <v>0</v>
      </c>
      <c r="L1135" s="1948"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1872" t="str">
        <f>CONCATENATE("x ", K1135," units = ")</f>
        <v xml:space="preserve">x 0 units = </v>
      </c>
      <c r="N1135" s="1949" t="e">
        <f>K1135*L1135</f>
        <v>#N/A</v>
      </c>
      <c r="O1135" s="1939"/>
      <c r="P1135" s="1832" t="s">
        <v>3921</v>
      </c>
      <c r="Q1135" s="1832"/>
    </row>
    <row r="1136" spans="1:17" ht="12.75" customHeight="1">
      <c r="A1136" s="1945"/>
      <c r="B1136" s="1945"/>
      <c r="C1136" s="1945"/>
      <c r="D1136" s="1946" t="s">
        <v>2456</v>
      </c>
      <c r="E1136" s="1934">
        <v>1</v>
      </c>
      <c r="F1136" s="1947">
        <f>'Part VI-Revenues &amp; Expenses'!$K$104</f>
        <v>0</v>
      </c>
      <c r="G1136" s="1948"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1872" t="str">
        <f>CONCATENATE("x ", F1136," units = ")</f>
        <v xml:space="preserve">x 0 units = </v>
      </c>
      <c r="I1136" s="1949" t="e">
        <f>F1136*G1136</f>
        <v>#N/A</v>
      </c>
      <c r="J1136" s="1629"/>
      <c r="K1136" s="1947">
        <f>'Part VI-Revenues &amp; Expenses'!$K$105</f>
        <v>0</v>
      </c>
      <c r="L1136" s="1948"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1872" t="str">
        <f>CONCATENATE("x ", K1136," units = ")</f>
        <v xml:space="preserve">x 0 units = </v>
      </c>
      <c r="N1136" s="1949" t="e">
        <f>K1136*L1136</f>
        <v>#N/A</v>
      </c>
      <c r="O1136" s="1939"/>
      <c r="P1136" s="1950" t="str">
        <f>'Part VIII-Threshold Criteria'!P42</f>
        <v>Macon</v>
      </c>
      <c r="Q1136" s="1950">
        <f>'Part VIII-Threshold Criteria'!Q42</f>
        <v>0</v>
      </c>
    </row>
    <row r="1137" spans="1:17">
      <c r="A1137" s="1945"/>
      <c r="B1137" s="1945"/>
      <c r="C1137" s="1945"/>
      <c r="D1137" s="1946" t="s">
        <v>2457</v>
      </c>
      <c r="E1137" s="1934">
        <v>2</v>
      </c>
      <c r="F1137" s="1947">
        <f>'Part VI-Revenues &amp; Expenses'!$L$104</f>
        <v>24</v>
      </c>
      <c r="G1137" s="1948"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1872" t="str">
        <f>CONCATENATE("x ", F1137," units = ")</f>
        <v xml:space="preserve">x 24 units = </v>
      </c>
      <c r="I1137" s="1949" t="e">
        <f>F1137*G1137</f>
        <v>#N/A</v>
      </c>
      <c r="J1137" s="1629"/>
      <c r="K1137" s="1947">
        <f>'Part VI-Revenues &amp; Expenses'!$L$105</f>
        <v>0</v>
      </c>
      <c r="L1137" s="1948"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1872" t="str">
        <f>CONCATENATE("x ", K1137," units = ")</f>
        <v xml:space="preserve">x 0 units = </v>
      </c>
      <c r="N1137" s="1949" t="e">
        <f>K1137*L1137</f>
        <v>#N/A</v>
      </c>
      <c r="O1137" s="1939"/>
      <c r="P1137" s="1950">
        <f>'Part VIII-Threshold Criteria'!P43</f>
        <v>0</v>
      </c>
      <c r="Q1137" s="1950">
        <f>'Part VIII-Threshold Criteria'!Q43</f>
        <v>0</v>
      </c>
    </row>
    <row r="1138" spans="1:17" ht="12.75" customHeight="1">
      <c r="A1138" s="1945"/>
      <c r="B1138" s="1945"/>
      <c r="C1138" s="1945"/>
      <c r="D1138" s="1946" t="s">
        <v>2458</v>
      </c>
      <c r="E1138" s="1934">
        <v>3</v>
      </c>
      <c r="F1138" s="1947">
        <f>'Part VI-Revenues &amp; Expenses'!$M$104</f>
        <v>18</v>
      </c>
      <c r="G1138" s="1948"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1872" t="str">
        <f>CONCATENATE("x ", F1138," units = ")</f>
        <v xml:space="preserve">x 18 units = </v>
      </c>
      <c r="I1138" s="1949" t="e">
        <f>F1138*G1138</f>
        <v>#N/A</v>
      </c>
      <c r="J1138" s="1629"/>
      <c r="K1138" s="1947">
        <f>'Part VI-Revenues &amp; Expenses'!$M$105</f>
        <v>0</v>
      </c>
      <c r="L1138" s="1948"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1872" t="str">
        <f>CONCATENATE("x ", K1138," units = ")</f>
        <v xml:space="preserve">x 0 units = </v>
      </c>
      <c r="N1138" s="1949" t="e">
        <f>K1138*L1138</f>
        <v>#N/A</v>
      </c>
      <c r="O1138" s="1939"/>
      <c r="P1138" s="1901" t="s">
        <v>3658</v>
      </c>
      <c r="Q1138" s="1901"/>
    </row>
    <row r="1139" spans="1:17" ht="12.75" customHeight="1">
      <c r="C1139" s="1629"/>
      <c r="D1139" s="1946" t="s">
        <v>2459</v>
      </c>
      <c r="E1139" s="1934">
        <v>4</v>
      </c>
      <c r="F1139" s="1947">
        <f>'Part VI-Revenues &amp; Expenses'!$N$104</f>
        <v>0</v>
      </c>
      <c r="G1139" s="1948"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1872" t="str">
        <f>CONCATENATE("x ", F1139," units = ")</f>
        <v xml:space="preserve">x 0 units = </v>
      </c>
      <c r="I1139" s="1949" t="e">
        <f>F1139*G1139</f>
        <v>#N/A</v>
      </c>
      <c r="J1139" s="1629"/>
      <c r="K1139" s="1947">
        <f>'Part VI-Revenues &amp; Expenses'!$N$105</f>
        <v>0</v>
      </c>
      <c r="L1139" s="1948"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1872" t="str">
        <f>CONCATENATE("x ", K1139," units = ")</f>
        <v xml:space="preserve">x 0 units = </v>
      </c>
      <c r="N1139" s="1949" t="e">
        <f>K1139*L1139</f>
        <v>#N/A</v>
      </c>
      <c r="O1139" s="1939"/>
      <c r="P1139" s="1951">
        <f>'Part VIII-Threshold Criteria'!P45</f>
        <v>13639318</v>
      </c>
      <c r="Q1139" s="1951">
        <f>'Part VIII-Threshold Criteria'!Q45</f>
        <v>0</v>
      </c>
    </row>
    <row r="1140" spans="1:17" ht="12.75" customHeight="1">
      <c r="C1140" s="1629"/>
      <c r="D1140" s="1952" t="s">
        <v>3389</v>
      </c>
      <c r="E1140" s="1953"/>
      <c r="F1140" s="1954">
        <f>SUM(F1135:F1139)</f>
        <v>42</v>
      </c>
      <c r="G1140" s="1955"/>
      <c r="H1140" s="1956"/>
      <c r="I1140" s="1957" t="e">
        <f>SUM(I1135:I1139)</f>
        <v>#N/A</v>
      </c>
      <c r="J1140" s="1958"/>
      <c r="K1140" s="1954">
        <f>SUM(K1135:K1139)</f>
        <v>0</v>
      </c>
      <c r="L1140" s="1958"/>
      <c r="M1140" s="1956"/>
      <c r="N1140" s="1957" t="e">
        <f>SUM(N1135:N1139)</f>
        <v>#N/A</v>
      </c>
      <c r="O1140" s="1939"/>
      <c r="P1140" s="1951">
        <f>'Part VIII-Threshold Criteria'!P46</f>
        <v>0</v>
      </c>
      <c r="Q1140" s="1951">
        <f>'Part VIII-Threshold Criteria'!Q46</f>
        <v>0</v>
      </c>
    </row>
    <row r="1141" spans="1:17">
      <c r="C1141" s="1629"/>
      <c r="D1141" s="1959"/>
      <c r="E1141" s="1959"/>
      <c r="F1141" s="1960"/>
      <c r="G1141" s="1961"/>
      <c r="I1141" s="1960"/>
      <c r="K1141" s="1960"/>
      <c r="M1141" s="1939"/>
      <c r="N1141" s="1960"/>
      <c r="O1141" s="1939"/>
    </row>
    <row r="1142" spans="1:17" ht="12.75" customHeight="1">
      <c r="A1142" s="1945" t="s">
        <v>3374</v>
      </c>
      <c r="B1142" s="1945"/>
      <c r="C1142" s="1945"/>
      <c r="D1142" s="1946" t="s">
        <v>573</v>
      </c>
      <c r="E1142" s="1947">
        <v>0</v>
      </c>
      <c r="F1142" s="1947">
        <f>'Part VI-Revenues &amp; Expenses'!$J$106</f>
        <v>0</v>
      </c>
      <c r="G1142" s="1948"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1872" t="str">
        <f>CONCATENATE("x ", F1142," units = ")</f>
        <v xml:space="preserve">x 0 units = </v>
      </c>
      <c r="I1142" s="1949" t="e">
        <f>F1142*G1142</f>
        <v>#N/A</v>
      </c>
      <c r="J1142" s="1629"/>
      <c r="K1142" s="1947">
        <f>'Part VI-Revenues &amp; Expenses'!$J$107</f>
        <v>0</v>
      </c>
      <c r="L1142" s="1948"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1872" t="str">
        <f>CONCATENATE("x ", K1142," units = ")</f>
        <v xml:space="preserve">x 0 units = </v>
      </c>
      <c r="N1142" s="1949" t="e">
        <f>K1142*L1142</f>
        <v>#N/A</v>
      </c>
      <c r="P1142" s="1792" t="s">
        <v>4132</v>
      </c>
      <c r="Q1142" s="1792"/>
    </row>
    <row r="1143" spans="1:17" ht="12.75" customHeight="1">
      <c r="A1143" s="1945"/>
      <c r="B1143" s="1945"/>
      <c r="C1143" s="1945"/>
      <c r="D1143" s="1946" t="s">
        <v>2456</v>
      </c>
      <c r="E1143" s="1934">
        <v>1</v>
      </c>
      <c r="F1143" s="1947">
        <f>'Part VI-Revenues &amp; Expenses'!$K$106</f>
        <v>0</v>
      </c>
      <c r="G1143" s="1948"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1872" t="str">
        <f>CONCATENATE("x ", F1143," units = ")</f>
        <v xml:space="preserve">x 0 units = </v>
      </c>
      <c r="I1143" s="1949" t="e">
        <f>F1143*G1143</f>
        <v>#N/A</v>
      </c>
      <c r="J1143" s="1629"/>
      <c r="K1143" s="1947">
        <f>'Part VI-Revenues &amp; Expenses'!$K$107</f>
        <v>0</v>
      </c>
      <c r="L1143" s="1948"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1872" t="str">
        <f>CONCATENATE("x ", K1143," units = ")</f>
        <v xml:space="preserve">x 0 units = </v>
      </c>
      <c r="N1143" s="1949" t="e">
        <f>K1143*L1143</f>
        <v>#N/A</v>
      </c>
      <c r="P1143" s="1962">
        <f>'Part VIII-Threshold Criteria'!P49</f>
        <v>0</v>
      </c>
      <c r="Q1143" s="1962">
        <f>'Part VIII-Threshold Criteria'!Q49</f>
        <v>0</v>
      </c>
    </row>
    <row r="1144" spans="1:17" ht="12.75" customHeight="1">
      <c r="A1144" s="1945"/>
      <c r="B1144" s="1945"/>
      <c r="C1144" s="1945"/>
      <c r="D1144" s="1946" t="s">
        <v>2457</v>
      </c>
      <c r="E1144" s="1934">
        <v>2</v>
      </c>
      <c r="F1144" s="1947">
        <f>'Part VI-Revenues &amp; Expenses'!$L$106</f>
        <v>15</v>
      </c>
      <c r="G1144" s="1948"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1872" t="str">
        <f>CONCATENATE("x ", F1144," units = ")</f>
        <v xml:space="preserve">x 15 units = </v>
      </c>
      <c r="I1144" s="1949" t="e">
        <f>F1144*G1144</f>
        <v>#N/A</v>
      </c>
      <c r="J1144" s="1629"/>
      <c r="K1144" s="1947">
        <f>'Part VI-Revenues &amp; Expenses'!$L$107</f>
        <v>0</v>
      </c>
      <c r="L1144" s="1948"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1872" t="str">
        <f>CONCATENATE("x ", K1144," units = ")</f>
        <v xml:space="preserve">x 0 units = </v>
      </c>
      <c r="N1144" s="1949" t="e">
        <f>K1144*L1144</f>
        <v>#N/A</v>
      </c>
      <c r="O1144" s="1963"/>
      <c r="P1144" s="1962">
        <f>'Part VIII-Threshold Criteria'!P50</f>
        <v>0</v>
      </c>
      <c r="Q1144" s="1962">
        <f>'Part VIII-Threshold Criteria'!Q50</f>
        <v>0</v>
      </c>
    </row>
    <row r="1145" spans="1:17">
      <c r="C1145" s="1629"/>
      <c r="D1145" s="1946" t="s">
        <v>2458</v>
      </c>
      <c r="E1145" s="1934">
        <v>3</v>
      </c>
      <c r="F1145" s="1947">
        <f>'Part VI-Revenues &amp; Expenses'!$M$106</f>
        <v>0</v>
      </c>
      <c r="G1145" s="1948"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1872" t="str">
        <f>CONCATENATE("x ", F1145," units = ")</f>
        <v xml:space="preserve">x 0 units = </v>
      </c>
      <c r="I1145" s="1949" t="e">
        <f>F1145*G1145</f>
        <v>#N/A</v>
      </c>
      <c r="J1145" s="1629"/>
      <c r="K1145" s="1947">
        <f>'Part VI-Revenues &amp; Expenses'!$M$107</f>
        <v>0</v>
      </c>
      <c r="L1145" s="1948"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1872" t="str">
        <f>CONCATENATE("x ", K1145," units = ")</f>
        <v xml:space="preserve">x 0 units = </v>
      </c>
      <c r="N1145" s="1949" t="e">
        <f>K1145*L1145</f>
        <v>#N/A</v>
      </c>
      <c r="O1145" s="1963"/>
    </row>
    <row r="1146" spans="1:17">
      <c r="C1146" s="1629"/>
      <c r="D1146" s="1946" t="s">
        <v>2459</v>
      </c>
      <c r="E1146" s="1934">
        <v>4</v>
      </c>
      <c r="F1146" s="1947">
        <f>'Part VI-Revenues &amp; Expenses'!$N$106</f>
        <v>0</v>
      </c>
      <c r="G1146" s="1948"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1872" t="str">
        <f>CONCATENATE("x ", F1146," units = ")</f>
        <v xml:space="preserve">x 0 units = </v>
      </c>
      <c r="I1146" s="1949" t="e">
        <f>F1146*G1146</f>
        <v>#N/A</v>
      </c>
      <c r="J1146" s="1629"/>
      <c r="K1146" s="1947">
        <f>'Part VI-Revenues &amp; Expenses'!$N$107</f>
        <v>0</v>
      </c>
      <c r="L1146" s="1948"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1872" t="str">
        <f>CONCATENATE("x ", K1146," units = ")</f>
        <v xml:space="preserve">x 0 units = </v>
      </c>
      <c r="N1146" s="1949" t="e">
        <f>K1146*L1146</f>
        <v>#N/A</v>
      </c>
      <c r="O1146" s="1963"/>
      <c r="P1146" s="478" t="s">
        <v>3656</v>
      </c>
      <c r="Q1146" s="478"/>
    </row>
    <row r="1147" spans="1:17">
      <c r="C1147" s="1629"/>
      <c r="D1147" s="1952" t="s">
        <v>3389</v>
      </c>
      <c r="E1147" s="1953"/>
      <c r="F1147" s="1954">
        <f>SUM(F1142:F1146)</f>
        <v>15</v>
      </c>
      <c r="G1147" s="1955"/>
      <c r="H1147" s="1956"/>
      <c r="I1147" s="1957" t="e">
        <f>SUM(I1142:I1146)</f>
        <v>#N/A</v>
      </c>
      <c r="J1147" s="1958"/>
      <c r="K1147" s="1954">
        <f>SUM(K1142:K1146)</f>
        <v>0</v>
      </c>
      <c r="L1147" s="1958"/>
      <c r="M1147" s="1956"/>
      <c r="N1147" s="1957" t="e">
        <f>SUM(N1142:N1146)</f>
        <v>#N/A</v>
      </c>
      <c r="O1147" s="1963"/>
      <c r="P1147" s="1845" t="s">
        <v>3266</v>
      </c>
      <c r="Q1147" s="1845" t="s">
        <v>258</v>
      </c>
    </row>
    <row r="1148" spans="1:17">
      <c r="C1148" s="1629"/>
      <c r="D1148" s="1959"/>
      <c r="E1148" s="1959"/>
      <c r="F1148" s="1960"/>
      <c r="G1148" s="1961"/>
      <c r="I1148" s="1960"/>
      <c r="K1148" s="1960"/>
      <c r="M1148" s="1939"/>
      <c r="N1148" s="1960"/>
      <c r="O1148" s="1963"/>
    </row>
    <row r="1149" spans="1:17">
      <c r="A1149" s="1748" t="s">
        <v>3375</v>
      </c>
      <c r="C1149" s="1629"/>
      <c r="D1149" s="1946" t="s">
        <v>573</v>
      </c>
      <c r="E1149" s="1934">
        <v>0</v>
      </c>
      <c r="F1149" s="1947">
        <f>'Part VI-Revenues &amp; Expenses'!$J$108</f>
        <v>0</v>
      </c>
      <c r="G1149" s="1948"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1872" t="str">
        <f>CONCATENATE("x ", F1149," units = ")</f>
        <v xml:space="preserve">x 0 units = </v>
      </c>
      <c r="I1149" s="1949" t="e">
        <f>F1149*G1149</f>
        <v>#N/A</v>
      </c>
      <c r="J1149" s="1629"/>
      <c r="K1149" s="1947">
        <f>'Part VI-Revenues &amp; Expenses'!$J$109</f>
        <v>0</v>
      </c>
      <c r="L1149" s="1948"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1872" t="str">
        <f>CONCATENATE("x ", K1149," units = ")</f>
        <v xml:space="preserve">x 0 units = </v>
      </c>
      <c r="N1149" s="1949" t="e">
        <f>K1149*L1149</f>
        <v>#N/A</v>
      </c>
      <c r="O1149" s="1963"/>
      <c r="P1149" s="1964">
        <f>'Part IX A-Scoring Criteria'!O1508</f>
        <v>0</v>
      </c>
      <c r="Q1149" s="1964">
        <f>'Part IX A-Scoring Criteria'!P1508</f>
        <v>0</v>
      </c>
    </row>
    <row r="1150" spans="1:17">
      <c r="C1150" s="1629"/>
      <c r="D1150" s="1946" t="s">
        <v>2456</v>
      </c>
      <c r="E1150" s="1934">
        <v>1</v>
      </c>
      <c r="F1150" s="1947">
        <f>'Part VI-Revenues &amp; Expenses'!$K$108</f>
        <v>0</v>
      </c>
      <c r="G1150" s="1948"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1872" t="str">
        <f>CONCATENATE("x ", F1150," units = ")</f>
        <v xml:space="preserve">x 0 units = </v>
      </c>
      <c r="I1150" s="1949" t="e">
        <f>F1150*G1150</f>
        <v>#N/A</v>
      </c>
      <c r="J1150" s="1629"/>
      <c r="K1150" s="1947">
        <f>'Part VI-Revenues &amp; Expenses'!$K$109</f>
        <v>0</v>
      </c>
      <c r="L1150" s="1948"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1872" t="str">
        <f>CONCATENATE("x ", K1150," units = ")</f>
        <v xml:space="preserve">x 0 units = </v>
      </c>
      <c r="N1150" s="1949" t="e">
        <f>K1150*L1150</f>
        <v>#N/A</v>
      </c>
      <c r="P1150" s="478" t="s">
        <v>3657</v>
      </c>
      <c r="Q1150" s="478"/>
    </row>
    <row r="1151" spans="1:17">
      <c r="C1151" s="1629"/>
      <c r="D1151" s="1946" t="s">
        <v>2457</v>
      </c>
      <c r="E1151" s="1934">
        <v>2</v>
      </c>
      <c r="F1151" s="1947">
        <f>'Part VI-Revenues &amp; Expenses'!$L$108</f>
        <v>6</v>
      </c>
      <c r="G1151" s="1948"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1872" t="str">
        <f>CONCATENATE("x ", F1151," units = ")</f>
        <v xml:space="preserve">x 6 units = </v>
      </c>
      <c r="I1151" s="1949" t="e">
        <f>F1151*G1151</f>
        <v>#N/A</v>
      </c>
      <c r="J1151" s="1629"/>
      <c r="K1151" s="1947">
        <f>'Part VI-Revenues &amp; Expenses'!$L$109</f>
        <v>0</v>
      </c>
      <c r="L1151" s="1948"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1872" t="str">
        <f>CONCATENATE("x ", K1151," units = ")</f>
        <v xml:space="preserve">x 0 units = </v>
      </c>
      <c r="N1151" s="1949" t="e">
        <f>K1151*L1151</f>
        <v>#N/A</v>
      </c>
      <c r="P1151" s="1845" t="s">
        <v>3266</v>
      </c>
      <c r="Q1151" s="1845" t="s">
        <v>258</v>
      </c>
    </row>
    <row r="1152" spans="1:17">
      <c r="C1152" s="1629"/>
      <c r="D1152" s="1946" t="s">
        <v>2458</v>
      </c>
      <c r="E1152" s="1934">
        <v>3</v>
      </c>
      <c r="F1152" s="1947">
        <f>'Part VI-Revenues &amp; Expenses'!$M$108</f>
        <v>2</v>
      </c>
      <c r="G1152" s="1948"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1872" t="str">
        <f>CONCATENATE("x ", F1152," units = ")</f>
        <v xml:space="preserve">x 2 units = </v>
      </c>
      <c r="I1152" s="1949" t="e">
        <f>F1152*G1152</f>
        <v>#N/A</v>
      </c>
      <c r="J1152" s="1629"/>
      <c r="K1152" s="1947">
        <f>'Part VI-Revenues &amp; Expenses'!$M$109</f>
        <v>0</v>
      </c>
      <c r="L1152" s="1948"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1872" t="str">
        <f>CONCATENATE("x ", K1152," units = ")</f>
        <v xml:space="preserve">x 0 units = </v>
      </c>
      <c r="N1152" s="1949" t="e">
        <f>K1152*L1152</f>
        <v>#N/A</v>
      </c>
      <c r="O1152" s="1963"/>
      <c r="P1152" s="1964">
        <f>'Part IX A-Scoring Criteria'!O1161</f>
        <v>0</v>
      </c>
      <c r="Q1152" s="1964">
        <f>'Part IX A-Scoring Criteria'!P1161</f>
        <v>0</v>
      </c>
    </row>
    <row r="1153" spans="1:17" ht="12.75" customHeight="1">
      <c r="C1153" s="1629"/>
      <c r="D1153" s="1946" t="s">
        <v>2459</v>
      </c>
      <c r="E1153" s="1934">
        <v>4</v>
      </c>
      <c r="F1153" s="1947">
        <f>'Part VI-Revenues &amp; Expenses'!$N$108</f>
        <v>0</v>
      </c>
      <c r="G1153" s="1948"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1872" t="str">
        <f>CONCATENATE("x ", F1153," units = ")</f>
        <v xml:space="preserve">x 0 units = </v>
      </c>
      <c r="I1153" s="1949" t="e">
        <f>F1153*G1153</f>
        <v>#N/A</v>
      </c>
      <c r="J1153" s="1629"/>
      <c r="K1153" s="1947">
        <f>'Part VI-Revenues &amp; Expenses'!$N$109</f>
        <v>0</v>
      </c>
      <c r="L1153" s="1948"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1872" t="str">
        <f>CONCATENATE("x ", K1153," units = ")</f>
        <v xml:space="preserve">x 0 units = </v>
      </c>
      <c r="N1153" s="1949" t="e">
        <f>K1153*L1153</f>
        <v>#N/A</v>
      </c>
      <c r="O1153" s="1963"/>
      <c r="P1153" s="1965" t="s">
        <v>2788</v>
      </c>
      <c r="Q1153" s="1965"/>
    </row>
    <row r="1154" spans="1:17" ht="12.75" customHeight="1">
      <c r="C1154" s="1629"/>
      <c r="D1154" s="1952" t="s">
        <v>3389</v>
      </c>
      <c r="E1154" s="1953"/>
      <c r="F1154" s="1954">
        <f>SUM(F1149:F1153)</f>
        <v>8</v>
      </c>
      <c r="G1154" s="1955"/>
      <c r="H1154" s="1956"/>
      <c r="I1154" s="1957" t="e">
        <f>SUM(I1149:I1153)</f>
        <v>#N/A</v>
      </c>
      <c r="J1154" s="1958"/>
      <c r="K1154" s="1954">
        <f>SUM(K1149:K1153)</f>
        <v>0</v>
      </c>
      <c r="L1154" s="1958"/>
      <c r="M1154" s="1956"/>
      <c r="N1154" s="1957" t="e">
        <f>SUM(N1149:N1153)</f>
        <v>#N/A</v>
      </c>
      <c r="O1154" s="1963"/>
      <c r="P1154" s="1965"/>
      <c r="Q1154" s="1965"/>
    </row>
    <row r="1155" spans="1:17" ht="12.75" customHeight="1">
      <c r="C1155" s="1629"/>
      <c r="D1155" s="1959"/>
      <c r="E1155" s="1959"/>
      <c r="F1155" s="1960"/>
      <c r="G1155" s="1961"/>
      <c r="I1155" s="1960"/>
      <c r="K1155" s="1960"/>
      <c r="M1155" s="1939"/>
      <c r="N1155" s="1960"/>
      <c r="O1155" s="1963"/>
      <c r="P1155" s="1965"/>
      <c r="Q1155" s="1965"/>
    </row>
    <row r="1156" spans="1:17" ht="12.75" customHeight="1">
      <c r="A1156" s="1748" t="s">
        <v>3376</v>
      </c>
      <c r="C1156" s="1629"/>
      <c r="D1156" s="1946" t="s">
        <v>573</v>
      </c>
      <c r="E1156" s="1934">
        <v>0</v>
      </c>
      <c r="F1156" s="1947">
        <f>'Part VI-Revenues &amp; Expenses'!$J$110</f>
        <v>0</v>
      </c>
      <c r="G1156" s="1948"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1872" t="str">
        <f>CONCATENATE("x ", F1156," units = ")</f>
        <v xml:space="preserve">x 0 units = </v>
      </c>
      <c r="I1156" s="1949" t="e">
        <f>F1156*G1156</f>
        <v>#N/A</v>
      </c>
      <c r="J1156" s="1629"/>
      <c r="K1156" s="1947">
        <f>'Part VI-Revenues &amp; Expenses'!$J$111</f>
        <v>0</v>
      </c>
      <c r="L1156" s="1948"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1872" t="str">
        <f>CONCATENATE("x ", K1156," units = ")</f>
        <v xml:space="preserve">x 0 units = </v>
      </c>
      <c r="N1156" s="1949" t="e">
        <f>K1156*L1156</f>
        <v>#N/A</v>
      </c>
      <c r="O1156" s="1963"/>
      <c r="P1156" s="1965"/>
      <c r="Q1156" s="1965"/>
    </row>
    <row r="1157" spans="1:17" ht="12.75" customHeight="1">
      <c r="C1157" s="1629"/>
      <c r="D1157" s="1946" t="s">
        <v>2456</v>
      </c>
      <c r="E1157" s="1934">
        <v>1</v>
      </c>
      <c r="F1157" s="1947">
        <f>'Part VI-Revenues &amp; Expenses'!$K$110</f>
        <v>0</v>
      </c>
      <c r="G1157" s="1948"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1872" t="str">
        <f>CONCATENATE("x ", F1157," units = ")</f>
        <v xml:space="preserve">x 0 units = </v>
      </c>
      <c r="I1157" s="1949" t="e">
        <f>F1157*G1157</f>
        <v>#N/A</v>
      </c>
      <c r="J1157" s="1629"/>
      <c r="K1157" s="1947">
        <f>'Part VI-Revenues &amp; Expenses'!$K$111</f>
        <v>0</v>
      </c>
      <c r="L1157" s="1948"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1872" t="str">
        <f>CONCATENATE("x ", K1157," units = ")</f>
        <v xml:space="preserve">x 0 units = </v>
      </c>
      <c r="N1157" s="1949" t="e">
        <f>K1157*L1157</f>
        <v>#N/A</v>
      </c>
      <c r="O1157" s="1963"/>
      <c r="P1157" s="1966">
        <f>'Part VIII-Threshold Criteria'!P63</f>
        <v>13663801</v>
      </c>
      <c r="Q1157" s="1966">
        <f>'Part VIII-Threshold Criteria'!Q63</f>
        <v>0</v>
      </c>
    </row>
    <row r="1158" spans="1:17" ht="12.75" customHeight="1">
      <c r="C1158" s="1629"/>
      <c r="D1158" s="1946" t="s">
        <v>2457</v>
      </c>
      <c r="E1158" s="1934">
        <v>2</v>
      </c>
      <c r="F1158" s="1947">
        <f>'Part VI-Revenues &amp; Expenses'!$L$110</f>
        <v>0</v>
      </c>
      <c r="G1158" s="1948"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1872" t="str">
        <f>CONCATENATE("x ", F1158," units = ")</f>
        <v xml:space="preserve">x 0 units = </v>
      </c>
      <c r="I1158" s="1949" t="e">
        <f>F1158*G1158</f>
        <v>#N/A</v>
      </c>
      <c r="J1158" s="1629"/>
      <c r="K1158" s="1947">
        <f>'Part VI-Revenues &amp; Expenses'!$L$111</f>
        <v>0</v>
      </c>
      <c r="L1158" s="1948"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1872" t="str">
        <f>CONCATENATE("x ", K1158," units = ")</f>
        <v xml:space="preserve">x 0 units = </v>
      </c>
      <c r="N1158" s="1949" t="e">
        <f>K1158*L1158</f>
        <v>#N/A</v>
      </c>
      <c r="P1158" s="1966">
        <f>'Part VIII-Threshold Criteria'!P64</f>
        <v>0</v>
      </c>
      <c r="Q1158" s="1966">
        <f>'Part VIII-Threshold Criteria'!Q64</f>
        <v>0</v>
      </c>
    </row>
    <row r="1159" spans="1:17" ht="12.75" customHeight="1">
      <c r="C1159" s="1629"/>
      <c r="D1159" s="1946" t="s">
        <v>2458</v>
      </c>
      <c r="E1159" s="1934">
        <v>3</v>
      </c>
      <c r="F1159" s="1947">
        <f>'Part VI-Revenues &amp; Expenses'!$M$110</f>
        <v>0</v>
      </c>
      <c r="G1159" s="1948"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1872" t="str">
        <f>CONCATENATE("x ", F1159," units = ")</f>
        <v xml:space="preserve">x 0 units = </v>
      </c>
      <c r="I1159" s="1949" t="e">
        <f>F1159*G1159</f>
        <v>#N/A</v>
      </c>
      <c r="J1159" s="1629"/>
      <c r="K1159" s="1947">
        <f>'Part VI-Revenues &amp; Expenses'!$M$111</f>
        <v>0</v>
      </c>
      <c r="L1159" s="1948"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1872" t="str">
        <f>CONCATENATE("x ", K1159," units = ")</f>
        <v xml:space="preserve">x 0 units = </v>
      </c>
      <c r="N1159" s="1949" t="e">
        <f>K1159*L1159</f>
        <v>#N/A</v>
      </c>
      <c r="P1159" s="1927" t="s">
        <v>4547</v>
      </c>
      <c r="Q1159" s="1927"/>
    </row>
    <row r="1160" spans="1:17">
      <c r="C1160" s="1629"/>
      <c r="D1160" s="1946" t="s">
        <v>2459</v>
      </c>
      <c r="E1160" s="1934">
        <v>4</v>
      </c>
      <c r="F1160" s="1947">
        <f>'Part VI-Revenues &amp; Expenses'!$N$110</f>
        <v>0</v>
      </c>
      <c r="G1160" s="1948"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1872" t="str">
        <f>CONCATENATE("x ", F1160," units = ")</f>
        <v xml:space="preserve">x 0 units = </v>
      </c>
      <c r="I1160" s="1949" t="e">
        <f>F1160*G1160</f>
        <v>#N/A</v>
      </c>
      <c r="J1160" s="1629"/>
      <c r="K1160" s="1947">
        <f>'Part VI-Revenues &amp; Expenses'!$N$111</f>
        <v>0</v>
      </c>
      <c r="L1160" s="1948"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1872" t="str">
        <f>CONCATENATE("x ", K1160," units = ")</f>
        <v xml:space="preserve">x 0 units = </v>
      </c>
      <c r="N1160" s="1949" t="e">
        <f>K1160*L1160</f>
        <v>#N/A</v>
      </c>
      <c r="O1160" s="1963"/>
      <c r="P1160" s="1927"/>
      <c r="Q1160" s="1927"/>
    </row>
    <row r="1161" spans="1:17">
      <c r="C1161" s="1629"/>
      <c r="D1161" s="1952" t="s">
        <v>3389</v>
      </c>
      <c r="E1161" s="1953"/>
      <c r="F1161" s="1954">
        <f>SUM(F1156:F1160)</f>
        <v>0</v>
      </c>
      <c r="G1161" s="1955"/>
      <c r="H1161" s="1956"/>
      <c r="I1161" s="1957" t="e">
        <f>SUM(I1156:I1160)</f>
        <v>#N/A</v>
      </c>
      <c r="J1161" s="1958"/>
      <c r="K1161" s="1954">
        <f>SUM(K1156:K1160)</f>
        <v>0</v>
      </c>
      <c r="L1161" s="1958"/>
      <c r="M1161" s="1956"/>
      <c r="N1161" s="1957" t="e">
        <f>SUM(N1156:N1160)</f>
        <v>#N/A</v>
      </c>
      <c r="O1161" s="1963"/>
      <c r="P1161" s="1927"/>
      <c r="Q1161" s="1927"/>
    </row>
    <row r="1162" spans="1:17">
      <c r="C1162" s="1629"/>
      <c r="D1162" s="1629"/>
      <c r="E1162" s="1330"/>
      <c r="F1162" s="1629"/>
      <c r="G1162" s="478"/>
      <c r="H1162" s="1967"/>
      <c r="I1162" s="1967"/>
      <c r="J1162" s="1967"/>
      <c r="K1162" s="1967"/>
      <c r="L1162" s="1967"/>
      <c r="M1162" s="1967"/>
      <c r="N1162" s="1968"/>
      <c r="O1162" s="1963"/>
      <c r="P1162" s="1927"/>
      <c r="Q1162" s="1927"/>
    </row>
    <row r="1163" spans="1:17" ht="13.5">
      <c r="A1163" s="1969" t="s">
        <v>3390</v>
      </c>
      <c r="B1163" s="1629"/>
      <c r="C1163" s="1629"/>
      <c r="D1163" s="1629"/>
      <c r="E1163" s="1830"/>
      <c r="F1163" s="1970">
        <f>F1140+F1147+F1154+F1161</f>
        <v>65</v>
      </c>
      <c r="G1163" s="1695"/>
      <c r="H1163" s="1971">
        <f>'Part VIII-Threshold Criteria'!H69</f>
        <v>13663801</v>
      </c>
      <c r="I1163" s="1971">
        <f>'Part VIII-Threshold Criteria'!I69</f>
        <v>0</v>
      </c>
      <c r="J1163" s="1971">
        <f>'Part VIII-Threshold Criteria'!J69</f>
        <v>0</v>
      </c>
      <c r="K1163" s="1970">
        <f>K1140+K1147+K1154+K1161</f>
        <v>0</v>
      </c>
      <c r="L1163" s="1972"/>
      <c r="M1163" s="1971">
        <f>'Part VIII-Threshold Criteria'!M69</f>
        <v>0</v>
      </c>
      <c r="N1163" s="1971">
        <f>'Part VIII-Threshold Criteria'!N69</f>
        <v>0</v>
      </c>
      <c r="O1163" s="1971">
        <f>'Part VIII-Threshold Criteria'!O69</f>
        <v>0</v>
      </c>
      <c r="P1163" s="1927"/>
      <c r="Q1163" s="1927"/>
    </row>
    <row r="1164" spans="1:17">
      <c r="B1164" s="1873" t="s">
        <v>3779</v>
      </c>
      <c r="D1164" s="1873"/>
      <c r="E1164" s="1873"/>
      <c r="F1164" s="1873"/>
      <c r="G1164" s="1873"/>
      <c r="H1164" s="1872"/>
      <c r="I1164" s="1934"/>
      <c r="J1164" s="1934"/>
      <c r="K1164" s="1937" t="s">
        <v>1880</v>
      </c>
      <c r="L1164" s="1836"/>
      <c r="M1164" s="1836"/>
      <c r="N1164" s="1836"/>
      <c r="O1164" s="1836"/>
      <c r="P1164" s="1836"/>
      <c r="Q1164" s="1836"/>
    </row>
    <row r="1165" spans="1:17" ht="409.5">
      <c r="A1165" s="1936" t="str">
        <f>'Part VIII-Threshold Criteria'!A71</f>
        <v xml:space="preserve">Tindall Fields III meets Threshold approval because the Tindall Fields III development budget is within the HUD Total Development Cost limits. We have several different building types, so our explanation of how we determined our TDC is as follows: Tindall Fields III will have 65 units in 27 buildings. There are three building types, consisting of a mix of 21 semi-detached (duplex town home) buildings, 2 Row House buildings and 4 walkup buildings. </v>
      </c>
      <c r="B1165" s="1936">
        <f>'Part VIII-Threshold Criteria'!B71</f>
        <v>0</v>
      </c>
      <c r="C1165" s="1936">
        <f>'Part VIII-Threshold Criteria'!C71</f>
        <v>0</v>
      </c>
      <c r="D1165" s="1936">
        <f>'Part VIII-Threshold Criteria'!D71</f>
        <v>0</v>
      </c>
      <c r="E1165" s="1936">
        <f>'Part VIII-Threshold Criteria'!E71</f>
        <v>0</v>
      </c>
      <c r="F1165" s="1936">
        <f>'Part VIII-Threshold Criteria'!F71</f>
        <v>0</v>
      </c>
      <c r="G1165" s="1936">
        <f>'Part VIII-Threshold Criteria'!G71</f>
        <v>0</v>
      </c>
      <c r="H1165" s="1936">
        <f>'Part VIII-Threshold Criteria'!H71</f>
        <v>0</v>
      </c>
      <c r="I1165" s="1936">
        <f>'Part VIII-Threshold Criteria'!I71</f>
        <v>0</v>
      </c>
      <c r="J1165" s="1936">
        <f>'Part VIII-Threshold Criteria'!J71</f>
        <v>0</v>
      </c>
      <c r="K1165" s="1936">
        <f>'Part VIII-Threshold Criteria'!K71</f>
        <v>0</v>
      </c>
      <c r="L1165" s="1936">
        <f>'Part VIII-Threshold Criteria'!L71</f>
        <v>0</v>
      </c>
      <c r="M1165" s="1936">
        <f>'Part VIII-Threshold Criteria'!M71</f>
        <v>0</v>
      </c>
      <c r="N1165" s="1936">
        <f>'Part VIII-Threshold Criteria'!N71</f>
        <v>0</v>
      </c>
      <c r="O1165" s="1936">
        <f>'Part VIII-Threshold Criteria'!O71</f>
        <v>0</v>
      </c>
      <c r="P1165" s="1936">
        <f>'Part VIII-Threshold Criteria'!P71</f>
        <v>0</v>
      </c>
      <c r="Q1165" s="1936">
        <f>'Part VIII-Threshold Criteria'!Q71</f>
        <v>0</v>
      </c>
    </row>
    <row r="1166" spans="1:17">
      <c r="B1166" s="1934"/>
      <c r="C1166" s="1939"/>
      <c r="D1166" s="1939"/>
      <c r="E1166" s="1939"/>
      <c r="F1166" s="1939"/>
      <c r="G1166" s="1939"/>
      <c r="H1166" s="1939"/>
      <c r="I1166" s="1939"/>
      <c r="J1166" s="1939"/>
      <c r="K1166" s="1939"/>
      <c r="L1166" s="1939"/>
      <c r="M1166" s="1939"/>
      <c r="N1166" s="1939"/>
      <c r="O1166" s="1939"/>
      <c r="P1166" s="1939"/>
      <c r="Q1166" s="1836"/>
    </row>
    <row r="1167" spans="1:17">
      <c r="A1167" s="1819" t="s">
        <v>750</v>
      </c>
      <c r="B1167" s="1818" t="s">
        <v>1202</v>
      </c>
      <c r="C1167" s="1818"/>
      <c r="D1167" s="1818"/>
      <c r="E1167" s="1939"/>
      <c r="F1167" s="1939"/>
      <c r="G1167" s="1961" t="s">
        <v>100</v>
      </c>
      <c r="H1167" s="1939"/>
      <c r="J1167" s="1933" t="str">
        <f>'Part VIII-Threshold Criteria'!J73</f>
        <v>Family</v>
      </c>
      <c r="K1167" s="1933">
        <f>'Part VIII-Threshold Criteria'!K73</f>
        <v>0</v>
      </c>
      <c r="L1167" s="1933">
        <f>'Part VIII-Threshold Criteria'!L73</f>
        <v>0</v>
      </c>
      <c r="O1167" s="1935" t="s">
        <v>1881</v>
      </c>
      <c r="P1167" s="1844">
        <f>'Part VIII-Threshold Criteria'!P73</f>
        <v>0</v>
      </c>
      <c r="Q1167" s="1844">
        <f>'Part VIII-Threshold Criteria'!Q73</f>
        <v>0</v>
      </c>
    </row>
    <row r="1168" spans="1:17">
      <c r="B1168" s="1873" t="s">
        <v>3779</v>
      </c>
      <c r="D1168" s="1873"/>
      <c r="E1168" s="1873"/>
      <c r="F1168" s="1873"/>
      <c r="G1168" s="1873"/>
      <c r="H1168" s="1872"/>
      <c r="I1168" s="1934"/>
      <c r="J1168" s="1934"/>
      <c r="K1168" s="1937" t="s">
        <v>1880</v>
      </c>
      <c r="L1168" s="1836"/>
      <c r="M1168" s="1836"/>
      <c r="N1168" s="1836"/>
      <c r="O1168" s="1836"/>
      <c r="P1168" s="1836"/>
      <c r="Q1168" s="1836"/>
    </row>
    <row r="1169" spans="1:17" ht="146.25">
      <c r="A1169" s="1936" t="str">
        <f>'Part VIII-Threshold Criteria'!A75</f>
        <v>Tindall Fields III meets Threshold approval because all of the Tindall Fields III units are reserved for family tenancy.</v>
      </c>
      <c r="B1169" s="1936">
        <f>'Part VIII-Threshold Criteria'!B75</f>
        <v>0</v>
      </c>
      <c r="C1169" s="1936">
        <f>'Part VIII-Threshold Criteria'!C75</f>
        <v>0</v>
      </c>
      <c r="D1169" s="1936">
        <f>'Part VIII-Threshold Criteria'!D75</f>
        <v>0</v>
      </c>
      <c r="E1169" s="1936">
        <f>'Part VIII-Threshold Criteria'!E75</f>
        <v>0</v>
      </c>
      <c r="F1169" s="1936">
        <f>'Part VIII-Threshold Criteria'!F75</f>
        <v>0</v>
      </c>
      <c r="G1169" s="1936">
        <f>'Part VIII-Threshold Criteria'!G75</f>
        <v>0</v>
      </c>
      <c r="H1169" s="1936">
        <f>'Part VIII-Threshold Criteria'!H75</f>
        <v>0</v>
      </c>
      <c r="I1169" s="1936">
        <f>'Part VIII-Threshold Criteria'!I75</f>
        <v>0</v>
      </c>
      <c r="J1169" s="1936">
        <f>'Part VIII-Threshold Criteria'!J75</f>
        <v>0</v>
      </c>
      <c r="K1169" s="1936">
        <f>'Part VIII-Threshold Criteria'!K75</f>
        <v>0</v>
      </c>
      <c r="L1169" s="1936">
        <f>'Part VIII-Threshold Criteria'!L75</f>
        <v>0</v>
      </c>
      <c r="M1169" s="1936">
        <f>'Part VIII-Threshold Criteria'!M75</f>
        <v>0</v>
      </c>
      <c r="N1169" s="1936">
        <f>'Part VIII-Threshold Criteria'!N75</f>
        <v>0</v>
      </c>
      <c r="O1169" s="1936">
        <f>'Part VIII-Threshold Criteria'!O75</f>
        <v>0</v>
      </c>
      <c r="P1169" s="1936">
        <f>'Part VIII-Threshold Criteria'!P75</f>
        <v>0</v>
      </c>
      <c r="Q1169" s="1936">
        <f>'Part VIII-Threshold Criteria'!Q75</f>
        <v>0</v>
      </c>
    </row>
    <row r="1170" spans="1:17">
      <c r="A1170" s="1836"/>
      <c r="B1170" s="1934"/>
      <c r="C1170" s="1939"/>
      <c r="D1170" s="1939"/>
      <c r="E1170" s="1939"/>
      <c r="F1170" s="1939"/>
      <c r="G1170" s="1939"/>
      <c r="H1170" s="1939"/>
      <c r="I1170" s="1939"/>
      <c r="J1170" s="1939"/>
      <c r="K1170" s="1939"/>
      <c r="L1170" s="1939"/>
      <c r="M1170" s="1939"/>
      <c r="N1170" s="1939"/>
      <c r="O1170" s="1939"/>
      <c r="P1170" s="1939"/>
      <c r="Q1170" s="1836"/>
    </row>
    <row r="1171" spans="1:17">
      <c r="A1171" s="1819" t="s">
        <v>1805</v>
      </c>
      <c r="B1171" s="1819" t="s">
        <v>2669</v>
      </c>
      <c r="C1171" s="1969"/>
      <c r="D1171" s="1939"/>
      <c r="E1171" s="1939"/>
      <c r="F1171" s="1939"/>
      <c r="G1171" s="1939"/>
      <c r="H1171" s="1939"/>
      <c r="I1171" s="1939"/>
      <c r="J1171" s="1939"/>
      <c r="K1171" s="1939"/>
      <c r="L1171" s="1939"/>
      <c r="M1171" s="1939"/>
      <c r="O1171" s="1935" t="s">
        <v>1881</v>
      </c>
      <c r="P1171" s="1844">
        <f>'Part VIII-Threshold Criteria'!P77</f>
        <v>0</v>
      </c>
      <c r="Q1171" s="1844">
        <f>'Part VIII-Threshold Criteria'!Q77</f>
        <v>0</v>
      </c>
    </row>
    <row r="1173" spans="1:17">
      <c r="A1173" s="1973" t="s">
        <v>1999</v>
      </c>
      <c r="B1173" s="1961" t="s">
        <v>3769</v>
      </c>
      <c r="D1173" s="1961"/>
      <c r="E1173" s="1961"/>
      <c r="F1173" s="1961"/>
      <c r="G1173" s="1961"/>
      <c r="H1173" s="1961"/>
      <c r="I1173" s="1961"/>
      <c r="K1173" s="1961"/>
      <c r="L1173" s="1961"/>
      <c r="M1173" s="1974" t="s">
        <v>3723</v>
      </c>
      <c r="O1173" s="1936"/>
      <c r="P1173" s="1942" t="str">
        <f>'Part VIII-Threshold Criteria'!P79</f>
        <v>Agree</v>
      </c>
    </row>
    <row r="1174" spans="1:17">
      <c r="A1174" s="1975" t="s">
        <v>2001</v>
      </c>
      <c r="B1174" s="1872" t="s">
        <v>3768</v>
      </c>
      <c r="D1174" s="1872"/>
      <c r="E1174" s="1872"/>
      <c r="F1174" s="1872"/>
      <c r="G1174" s="1872"/>
      <c r="H1174" s="1872"/>
      <c r="I1174" s="1872"/>
      <c r="J1174" s="1872"/>
      <c r="K1174" s="1872"/>
      <c r="L1174" s="1872"/>
      <c r="M1174" s="1872"/>
      <c r="O1174" s="1872"/>
      <c r="P1174" s="1872"/>
      <c r="Q1174" s="1872"/>
    </row>
    <row r="1175" spans="1:17" ht="67.5">
      <c r="A1175" s="1976"/>
      <c r="B1175" s="1977" t="s">
        <v>1750</v>
      </c>
      <c r="C1175" s="1872" t="s">
        <v>3506</v>
      </c>
      <c r="E1175" s="1866"/>
      <c r="F1175" s="1866"/>
      <c r="G1175" s="1866"/>
      <c r="H1175" s="1629"/>
      <c r="I1175" s="478" t="s">
        <v>2723</v>
      </c>
      <c r="J1175" s="1978" t="str">
        <f>'Part VIII-Threshold Criteria'!J81</f>
        <v>Social and recreational programs (movie nights, pot luck dinners, etc.)</v>
      </c>
      <c r="K1175" s="1978">
        <f>'Part VIII-Threshold Criteria'!K81</f>
        <v>0</v>
      </c>
      <c r="L1175" s="1978">
        <f>'Part VIII-Threshold Criteria'!L81</f>
        <v>0</v>
      </c>
      <c r="M1175" s="1978">
        <f>'Part VIII-Threshold Criteria'!M81</f>
        <v>0</v>
      </c>
      <c r="N1175" s="1978">
        <f>'Part VIII-Threshold Criteria'!N81</f>
        <v>0</v>
      </c>
      <c r="O1175" s="1978">
        <f>'Part VIII-Threshold Criteria'!O81</f>
        <v>0</v>
      </c>
      <c r="P1175" s="1978">
        <f>'Part VIII-Threshold Criteria'!P81</f>
        <v>0</v>
      </c>
      <c r="Q1175" s="1978">
        <f>'Part VIII-Threshold Criteria'!Q81</f>
        <v>0</v>
      </c>
    </row>
    <row r="1176" spans="1:17" ht="56.25">
      <c r="A1176" s="1976"/>
      <c r="B1176" s="1977" t="s">
        <v>1751</v>
      </c>
      <c r="C1176" s="1872" t="s">
        <v>3604</v>
      </c>
      <c r="E1176" s="1866"/>
      <c r="F1176" s="1866"/>
      <c r="G1176" s="1866"/>
      <c r="H1176" s="1629"/>
      <c r="I1176" s="478" t="s">
        <v>2723</v>
      </c>
      <c r="J1176" s="1978" t="str">
        <f>'Part VIII-Threshold Criteria'!J82</f>
        <v>Computer training, financial literacy, Safety classes, arts and crafts classes</v>
      </c>
      <c r="K1176" s="1978">
        <f>'Part VIII-Threshold Criteria'!K82</f>
        <v>0</v>
      </c>
      <c r="L1176" s="1978">
        <f>'Part VIII-Threshold Criteria'!L82</f>
        <v>0</v>
      </c>
      <c r="M1176" s="1978">
        <f>'Part VIII-Threshold Criteria'!M82</f>
        <v>0</v>
      </c>
      <c r="N1176" s="1978">
        <f>'Part VIII-Threshold Criteria'!N82</f>
        <v>0</v>
      </c>
      <c r="O1176" s="1978">
        <f>'Part VIII-Threshold Criteria'!O82</f>
        <v>0</v>
      </c>
      <c r="P1176" s="1978">
        <f>'Part VIII-Threshold Criteria'!P82</f>
        <v>0</v>
      </c>
      <c r="Q1176" s="1978">
        <f>'Part VIII-Threshold Criteria'!Q82</f>
        <v>0</v>
      </c>
    </row>
    <row r="1177" spans="1:17" ht="45">
      <c r="A1177" s="1976"/>
      <c r="B1177" s="1977" t="s">
        <v>1752</v>
      </c>
      <c r="C1177" s="1872" t="s">
        <v>3605</v>
      </c>
      <c r="E1177" s="1866"/>
      <c r="F1177" s="1866"/>
      <c r="G1177" s="1866"/>
      <c r="H1177" s="1629"/>
      <c r="I1177" s="478" t="s">
        <v>2723</v>
      </c>
      <c r="J1177" s="1978" t="str">
        <f>'Part VIII-Threshold Criteria'!J83</f>
        <v>Financial Literacy program with Operation Hope and partners</v>
      </c>
      <c r="K1177" s="1978">
        <f>'Part VIII-Threshold Criteria'!K83</f>
        <v>0</v>
      </c>
      <c r="L1177" s="1978">
        <f>'Part VIII-Threshold Criteria'!L83</f>
        <v>0</v>
      </c>
      <c r="M1177" s="1978">
        <f>'Part VIII-Threshold Criteria'!M83</f>
        <v>0</v>
      </c>
      <c r="N1177" s="1978">
        <f>'Part VIII-Threshold Criteria'!N83</f>
        <v>0</v>
      </c>
      <c r="O1177" s="1978">
        <f>'Part VIII-Threshold Criteria'!O83</f>
        <v>0</v>
      </c>
      <c r="P1177" s="1978">
        <f>'Part VIII-Threshold Criteria'!P83</f>
        <v>0</v>
      </c>
      <c r="Q1177" s="1978">
        <f>'Part VIII-Threshold Criteria'!Q83</f>
        <v>0</v>
      </c>
    </row>
    <row r="1178" spans="1:17">
      <c r="A1178" s="1976"/>
      <c r="B1178" s="1977" t="s">
        <v>2381</v>
      </c>
      <c r="C1178" s="1872" t="s">
        <v>3932</v>
      </c>
      <c r="E1178" s="1866"/>
      <c r="I1178" s="478" t="s">
        <v>2723</v>
      </c>
      <c r="J1178" s="1978">
        <f>'Part VIII-Threshold Criteria'!J84</f>
        <v>0</v>
      </c>
      <c r="K1178" s="1978">
        <f>'Part VIII-Threshold Criteria'!K84</f>
        <v>0</v>
      </c>
      <c r="L1178" s="1978">
        <f>'Part VIII-Threshold Criteria'!L84</f>
        <v>0</v>
      </c>
      <c r="M1178" s="1978">
        <f>'Part VIII-Threshold Criteria'!M84</f>
        <v>0</v>
      </c>
      <c r="N1178" s="1978">
        <f>'Part VIII-Threshold Criteria'!N84</f>
        <v>0</v>
      </c>
      <c r="O1178" s="1978">
        <f>'Part VIII-Threshold Criteria'!O84</f>
        <v>0</v>
      </c>
      <c r="P1178" s="1978">
        <f>'Part VIII-Threshold Criteria'!P84</f>
        <v>0</v>
      </c>
      <c r="Q1178" s="1978">
        <f>'Part VIII-Threshold Criteria'!Q84</f>
        <v>0</v>
      </c>
    </row>
    <row r="1179" spans="1:17">
      <c r="A1179" s="1975" t="s">
        <v>757</v>
      </c>
      <c r="B1179" s="1872" t="s">
        <v>3590</v>
      </c>
      <c r="D1179" s="1872"/>
      <c r="E1179" s="1866"/>
      <c r="J1179" s="478"/>
      <c r="K1179" s="478"/>
      <c r="L1179" s="478"/>
      <c r="M1179" s="478"/>
      <c r="N1179" s="478"/>
      <c r="O1179" s="478"/>
      <c r="P1179" s="478"/>
      <c r="Q1179" s="478"/>
    </row>
    <row r="1180" spans="1:17">
      <c r="A1180" s="1976"/>
      <c r="B1180" s="1156" t="s">
        <v>3923</v>
      </c>
      <c r="D1180" s="1901"/>
      <c r="E1180" s="1901"/>
      <c r="F1180" s="1901"/>
      <c r="G1180" s="1901"/>
      <c r="H1180" s="1901"/>
      <c r="I1180" s="1629"/>
      <c r="J1180" s="1629"/>
      <c r="K1180" s="1977" t="s">
        <v>757</v>
      </c>
      <c r="L1180" s="1933" t="str">
        <f>'Part VIII-Threshold Criteria'!L86</f>
        <v>N/A under this category although we have similar MOUs</v>
      </c>
      <c r="M1180" s="1933">
        <f>'Part VIII-Threshold Criteria'!M86</f>
        <v>0</v>
      </c>
      <c r="N1180" s="1933">
        <f>'Part VIII-Threshold Criteria'!N86</f>
        <v>0</v>
      </c>
      <c r="O1180" s="1933">
        <f>'Part VIII-Threshold Criteria'!O86</f>
        <v>0</v>
      </c>
      <c r="P1180" s="1933">
        <f>'Part VIII-Threshold Criteria'!P86</f>
        <v>0</v>
      </c>
      <c r="Q1180" s="1942">
        <f>'Part VIII-Threshold Criteria'!Q86</f>
        <v>0</v>
      </c>
    </row>
    <row r="1181" spans="1:17">
      <c r="B1181" s="1873" t="s">
        <v>3779</v>
      </c>
      <c r="D1181" s="1873"/>
      <c r="E1181" s="1873"/>
      <c r="F1181" s="1873"/>
      <c r="G1181" s="1873"/>
      <c r="H1181" s="1872"/>
      <c r="I1181" s="1934"/>
      <c r="J1181" s="1934"/>
      <c r="K1181" s="1937" t="s">
        <v>1880</v>
      </c>
      <c r="L1181" s="1836"/>
      <c r="M1181" s="1836"/>
      <c r="N1181" s="1836"/>
      <c r="O1181" s="1836"/>
      <c r="P1181" s="1836"/>
      <c r="Q1181" s="1836"/>
    </row>
    <row r="1182" spans="1:17" ht="393.75">
      <c r="A1182" s="1936" t="str">
        <f>'Part VIII-Threshold Criteria'!A88</f>
        <v>Tindall Fields III meets Threshold approval because we commit to providing more than just the minimum number of DCA-required services.    In addition to these services, we have an MOU for financial literacy education for families served by Operation HOPE as documented at Tab 30-05 under the “Enriched Property Services” program.</v>
      </c>
      <c r="B1182" s="1936">
        <f>'Part VIII-Threshold Criteria'!B88</f>
        <v>0</v>
      </c>
      <c r="C1182" s="1936">
        <f>'Part VIII-Threshold Criteria'!C88</f>
        <v>0</v>
      </c>
      <c r="D1182" s="1936">
        <f>'Part VIII-Threshold Criteria'!D88</f>
        <v>0</v>
      </c>
      <c r="E1182" s="1936">
        <f>'Part VIII-Threshold Criteria'!E88</f>
        <v>0</v>
      </c>
      <c r="F1182" s="1936">
        <f>'Part VIII-Threshold Criteria'!F88</f>
        <v>0</v>
      </c>
      <c r="G1182" s="1936">
        <f>'Part VIII-Threshold Criteria'!G88</f>
        <v>0</v>
      </c>
      <c r="H1182" s="1936">
        <f>'Part VIII-Threshold Criteria'!H88</f>
        <v>0</v>
      </c>
      <c r="I1182" s="1936">
        <f>'Part VIII-Threshold Criteria'!I88</f>
        <v>0</v>
      </c>
      <c r="J1182" s="1936">
        <f>'Part VIII-Threshold Criteria'!J88</f>
        <v>0</v>
      </c>
      <c r="K1182" s="1936">
        <f>'Part VIII-Threshold Criteria'!K88</f>
        <v>0</v>
      </c>
      <c r="L1182" s="1936">
        <f>'Part VIII-Threshold Criteria'!L88</f>
        <v>0</v>
      </c>
      <c r="M1182" s="1936">
        <f>'Part VIII-Threshold Criteria'!M88</f>
        <v>0</v>
      </c>
      <c r="N1182" s="1936">
        <f>'Part VIII-Threshold Criteria'!N88</f>
        <v>0</v>
      </c>
      <c r="O1182" s="1936">
        <f>'Part VIII-Threshold Criteria'!O88</f>
        <v>0</v>
      </c>
      <c r="P1182" s="1936">
        <f>'Part VIII-Threshold Criteria'!P88</f>
        <v>0</v>
      </c>
      <c r="Q1182" s="1936">
        <f>'Part VIII-Threshold Criteria'!Q88</f>
        <v>0</v>
      </c>
    </row>
    <row r="1183" spans="1:17">
      <c r="A1183" s="1836"/>
      <c r="B1183" s="1934"/>
      <c r="C1183" s="1939"/>
      <c r="D1183" s="1939"/>
      <c r="E1183" s="1939"/>
      <c r="F1183" s="1939"/>
      <c r="G1183" s="1939"/>
      <c r="H1183" s="1939"/>
      <c r="I1183" s="1939"/>
      <c r="J1183" s="1939"/>
      <c r="K1183" s="1939"/>
      <c r="L1183" s="1939"/>
      <c r="M1183" s="1939"/>
      <c r="N1183" s="1939"/>
      <c r="O1183" s="1939"/>
      <c r="P1183" s="1939"/>
      <c r="Q1183" s="1836"/>
    </row>
    <row r="1184" spans="1:17">
      <c r="A1184" s="1819" t="s">
        <v>1807</v>
      </c>
      <c r="B1184" s="1819" t="s">
        <v>2670</v>
      </c>
      <c r="C1184" s="1819"/>
      <c r="D1184" s="1939"/>
      <c r="E1184" s="1939"/>
      <c r="F1184" s="1939"/>
      <c r="G1184" s="1939"/>
      <c r="H1184" s="1939"/>
      <c r="I1184" s="1939"/>
      <c r="J1184" s="1939"/>
      <c r="K1184" s="1939"/>
      <c r="O1184" s="1935" t="s">
        <v>1881</v>
      </c>
      <c r="P1184" s="1844">
        <f>'Part VIII-Threshold Criteria'!P90</f>
        <v>0</v>
      </c>
      <c r="Q1184" s="1844">
        <f>'Part VIII-Threshold Criteria'!Q90</f>
        <v>0</v>
      </c>
    </row>
    <row r="1186" spans="1:17">
      <c r="A1186" s="1975" t="s">
        <v>1999</v>
      </c>
      <c r="B1186" s="1156" t="s">
        <v>2476</v>
      </c>
      <c r="D1186" s="1901"/>
      <c r="E1186" s="1901"/>
      <c r="F1186" s="1901"/>
      <c r="G1186" s="1901"/>
      <c r="H1186" s="1901"/>
      <c r="I1186" s="1629"/>
      <c r="J1186" s="1629"/>
      <c r="K1186" s="1629"/>
      <c r="L1186" s="1977" t="s">
        <v>1999</v>
      </c>
      <c r="M1186" s="1933" t="str">
        <f>'Part VIII-Threshold Criteria'!M92</f>
        <v xml:space="preserve">Brendan Kelly, Novogradac &amp; Co. </v>
      </c>
      <c r="N1186" s="1933">
        <f>'Part VIII-Threshold Criteria'!N92</f>
        <v>0</v>
      </c>
      <c r="O1186" s="1933">
        <f>'Part VIII-Threshold Criteria'!O92</f>
        <v>0</v>
      </c>
      <c r="P1186" s="1629">
        <f>'Part VIII-Threshold Criteria'!P92</f>
        <v>0</v>
      </c>
      <c r="Q1186" s="1942">
        <f>'Part VIII-Threshold Criteria'!Q92</f>
        <v>0</v>
      </c>
    </row>
    <row r="1187" spans="1:17">
      <c r="A1187" s="1975" t="s">
        <v>2001</v>
      </c>
      <c r="B1187" s="478" t="s">
        <v>2052</v>
      </c>
      <c r="D1187" s="1901"/>
      <c r="E1187" s="1901"/>
      <c r="F1187" s="1901"/>
      <c r="L1187" s="1977" t="s">
        <v>2001</v>
      </c>
      <c r="M1187" s="1933" t="str">
        <f>'Part VIII-Threshold Criteria'!M93</f>
        <v>5-6 months</v>
      </c>
      <c r="N1187" s="1933">
        <f>'Part VIII-Threshold Criteria'!N93</f>
        <v>0</v>
      </c>
      <c r="O1187" s="1933">
        <f>'Part VIII-Threshold Criteria'!O93</f>
        <v>0</v>
      </c>
      <c r="P1187" s="1629">
        <f>'Part VIII-Threshold Criteria'!P93</f>
        <v>0</v>
      </c>
      <c r="Q1187" s="1942">
        <f>'Part VIII-Threshold Criteria'!Q93</f>
        <v>0</v>
      </c>
    </row>
    <row r="1188" spans="1:17">
      <c r="A1188" s="1975" t="s">
        <v>757</v>
      </c>
      <c r="B1188" s="478" t="s">
        <v>2897</v>
      </c>
      <c r="D1188" s="1901"/>
      <c r="E1188" s="1901"/>
      <c r="F1188" s="1901"/>
      <c r="L1188" s="1977" t="s">
        <v>757</v>
      </c>
      <c r="M1188" s="1979">
        <f>'Part VIII-Threshold Criteria'!M94</f>
        <v>0.98299999999999998</v>
      </c>
      <c r="N1188" s="1979">
        <f>'Part VIII-Threshold Criteria'!N94</f>
        <v>0</v>
      </c>
      <c r="O1188" s="1979">
        <f>'Part VIII-Threshold Criteria'!O94</f>
        <v>0</v>
      </c>
      <c r="P1188" s="1980">
        <f>'Part VIII-Threshold Criteria'!P94</f>
        <v>0</v>
      </c>
      <c r="Q1188" s="1942">
        <f>'Part VIII-Threshold Criteria'!Q94</f>
        <v>0</v>
      </c>
    </row>
    <row r="1189" spans="1:17">
      <c r="A1189" s="1975" t="s">
        <v>2131</v>
      </c>
      <c r="B1189" s="478" t="s">
        <v>3925</v>
      </c>
      <c r="D1189" s="1901"/>
      <c r="E1189" s="1901"/>
      <c r="F1189" s="1901"/>
      <c r="L1189" s="1977" t="s">
        <v>3926</v>
      </c>
      <c r="M1189" s="1981">
        <f>'Part VIII-Threshold Criteria'!M95</f>
        <v>1.7000000000000001E-2</v>
      </c>
      <c r="N1189" s="1979"/>
      <c r="O1189" s="1982" t="s">
        <v>4175</v>
      </c>
      <c r="P1189" s="1983" t="str">
        <f>'Part VIII-Threshold Criteria'!P95</f>
        <v>n/a</v>
      </c>
      <c r="Q1189" s="1942">
        <f>'Part VIII-Threshold Criteria'!Q95</f>
        <v>0</v>
      </c>
    </row>
    <row r="1190" spans="1:17">
      <c r="A1190" s="1973" t="s">
        <v>1748</v>
      </c>
      <c r="B1190" s="1961" t="s">
        <v>3924</v>
      </c>
      <c r="D1190" s="1961"/>
      <c r="E1190" s="1961"/>
      <c r="F1190" s="1961"/>
      <c r="G1190" s="1961"/>
      <c r="H1190" s="1961"/>
      <c r="I1190" s="1961"/>
      <c r="J1190" s="1961"/>
      <c r="K1190" s="1961"/>
      <c r="L1190" s="1961"/>
      <c r="M1190" s="1961"/>
      <c r="N1190" s="1961"/>
      <c r="O1190" s="1961"/>
      <c r="P1190" s="1961"/>
      <c r="Q1190" s="1961"/>
    </row>
    <row r="1191" spans="1:17">
      <c r="B1191" s="1975"/>
      <c r="C1191" s="478"/>
      <c r="D1191" s="1934" t="s">
        <v>2394</v>
      </c>
      <c r="E1191" s="1872" t="s">
        <v>623</v>
      </c>
      <c r="F1191" s="1872"/>
      <c r="H1191" s="478"/>
      <c r="I1191" s="1934" t="s">
        <v>2394</v>
      </c>
      <c r="J1191" s="1872" t="s">
        <v>623</v>
      </c>
      <c r="K1191" s="1872"/>
      <c r="M1191" s="478"/>
      <c r="N1191" s="1934" t="s">
        <v>2394</v>
      </c>
      <c r="O1191" s="1872" t="s">
        <v>623</v>
      </c>
      <c r="P1191" s="1872"/>
      <c r="Q1191" s="1977"/>
    </row>
    <row r="1192" spans="1:17">
      <c r="C1192" s="1977" t="s">
        <v>1750</v>
      </c>
      <c r="D1192" s="1942" t="str">
        <f>'Part VIII-Threshold Criteria'!D98</f>
        <v>2014-052</v>
      </c>
      <c r="E1192" s="1933" t="str">
        <f>'Part VIII-Threshold Criteria'!E98</f>
        <v>A.L.Miller</v>
      </c>
      <c r="F1192" s="1933">
        <f>'Part VIII-Threshold Criteria'!F98</f>
        <v>0</v>
      </c>
      <c r="G1192" s="1933">
        <f>'Part VIII-Threshold Criteria'!G98</f>
        <v>0</v>
      </c>
      <c r="H1192" s="1977" t="s">
        <v>1752</v>
      </c>
      <c r="I1192" s="1942" t="str">
        <f>'Part VIII-Threshold Criteria'!I98</f>
        <v>2016-043</v>
      </c>
      <c r="J1192" s="1933" t="str">
        <f>'Part VIII-Threshold Criteria'!J98</f>
        <v>Tindall Fields I</v>
      </c>
      <c r="K1192" s="1933">
        <f>'Part VIII-Threshold Criteria'!K98</f>
        <v>0</v>
      </c>
      <c r="L1192" s="1933">
        <f>'Part VIII-Threshold Criteria'!L98</f>
        <v>0</v>
      </c>
      <c r="M1192" s="1977" t="s">
        <v>1561</v>
      </c>
      <c r="N1192" s="1942">
        <f>'Part VIII-Threshold Criteria'!N98</f>
        <v>0</v>
      </c>
      <c r="O1192" s="1933">
        <f>'Part VIII-Threshold Criteria'!O98</f>
        <v>0</v>
      </c>
      <c r="P1192" s="1933">
        <f>'Part VIII-Threshold Criteria'!P98</f>
        <v>0</v>
      </c>
      <c r="Q1192" s="1933">
        <f>'Part VIII-Threshold Criteria'!Q98</f>
        <v>0</v>
      </c>
    </row>
    <row r="1193" spans="1:17">
      <c r="C1193" s="1977" t="s">
        <v>1751</v>
      </c>
      <c r="D1193" s="1942" t="str">
        <f>'Part VIII-Threshold Criteria'!D99</f>
        <v>2015-037</v>
      </c>
      <c r="E1193" s="1933" t="str">
        <f>'Part VIII-Threshold Criteria'!E99</f>
        <v>Tindall Seniors Towers</v>
      </c>
      <c r="F1193" s="1933">
        <f>'Part VIII-Threshold Criteria'!F99</f>
        <v>0</v>
      </c>
      <c r="G1193" s="1933">
        <f>'Part VIII-Threshold Criteria'!G99</f>
        <v>0</v>
      </c>
      <c r="H1193" s="1977" t="s">
        <v>2381</v>
      </c>
      <c r="I1193" s="1942" t="str">
        <f>'Part VIII-Threshold Criteria'!I99</f>
        <v>2017-027</v>
      </c>
      <c r="J1193" s="1933" t="str">
        <f>'Part VIII-Threshold Criteria'!J99</f>
        <v>Tindall Fields II</v>
      </c>
      <c r="K1193" s="1933">
        <f>'Part VIII-Threshold Criteria'!K99</f>
        <v>0</v>
      </c>
      <c r="L1193" s="1933">
        <f>'Part VIII-Threshold Criteria'!L99</f>
        <v>0</v>
      </c>
      <c r="M1193" s="1977" t="s">
        <v>1562</v>
      </c>
      <c r="N1193" s="1942">
        <f>'Part VIII-Threshold Criteria'!N99</f>
        <v>0</v>
      </c>
      <c r="O1193" s="1933">
        <f>'Part VIII-Threshold Criteria'!O99</f>
        <v>0</v>
      </c>
      <c r="P1193" s="1933">
        <f>'Part VIII-Threshold Criteria'!P99</f>
        <v>0</v>
      </c>
      <c r="Q1193" s="1933">
        <f>'Part VIII-Threshold Criteria'!Q99</f>
        <v>0</v>
      </c>
    </row>
    <row r="1194" spans="1:17">
      <c r="A1194" s="1975" t="s">
        <v>1749</v>
      </c>
      <c r="B1194" s="478" t="s">
        <v>0</v>
      </c>
      <c r="D1194" s="1901"/>
      <c r="E1194" s="1901"/>
      <c r="F1194" s="1901"/>
      <c r="G1194" s="1901"/>
      <c r="H1194" s="1901"/>
      <c r="I1194" s="1629"/>
      <c r="J1194" s="1629"/>
      <c r="K1194" s="1901"/>
      <c r="L1194" s="1866"/>
      <c r="M1194" s="1866"/>
      <c r="O1194" s="1977" t="s">
        <v>1749</v>
      </c>
      <c r="P1194" s="1942" t="str">
        <f>'Part VIII-Threshold Criteria'!P100</f>
        <v>Yes</v>
      </c>
      <c r="Q1194" s="1942">
        <f>'Part VIII-Threshold Criteria'!Q100</f>
        <v>0</v>
      </c>
    </row>
    <row r="1195" spans="1:17">
      <c r="A1195" s="1156" t="s">
        <v>1683</v>
      </c>
      <c r="M1195" s="1984"/>
      <c r="O1195" s="1985"/>
      <c r="Q1195" s="1986" t="s">
        <v>2527</v>
      </c>
    </row>
    <row r="1196" spans="1:17" ht="12.75" customHeight="1">
      <c r="A1196" s="1973" t="s">
        <v>1962</v>
      </c>
      <c r="B1196" s="1936" t="s">
        <v>3638</v>
      </c>
      <c r="C1196" s="1936"/>
      <c r="D1196" s="1936"/>
      <c r="E1196" s="1936"/>
      <c r="F1196" s="1936"/>
      <c r="G1196" s="1936"/>
      <c r="H1196" s="1936"/>
      <c r="I1196" s="1936"/>
      <c r="J1196" s="1936"/>
      <c r="K1196" s="1936"/>
      <c r="L1196" s="1936"/>
      <c r="M1196" s="1936"/>
      <c r="N1196" s="1936"/>
      <c r="O1196" s="1936"/>
      <c r="P1196" s="1987" t="s">
        <v>1962</v>
      </c>
      <c r="Q1196" s="1988">
        <f>'Part VIII-Threshold Criteria'!Q102</f>
        <v>0</v>
      </c>
    </row>
    <row r="1197" spans="1:17" ht="12.75" customHeight="1">
      <c r="A1197" s="1973" t="s">
        <v>3391</v>
      </c>
      <c r="B1197" s="1936" t="s">
        <v>2748</v>
      </c>
      <c r="C1197" s="1936"/>
      <c r="D1197" s="1936"/>
      <c r="E1197" s="1936"/>
      <c r="F1197" s="1936"/>
      <c r="G1197" s="1936"/>
      <c r="H1197" s="1936"/>
      <c r="I1197" s="1936"/>
      <c r="J1197" s="1936"/>
      <c r="K1197" s="1936"/>
      <c r="L1197" s="1936"/>
      <c r="M1197" s="1936"/>
      <c r="N1197" s="1936"/>
      <c r="O1197" s="1936"/>
      <c r="P1197" s="1987" t="s">
        <v>3391</v>
      </c>
      <c r="Q1197" s="1988">
        <f>'Part VIII-Threshold Criteria'!Q103</f>
        <v>0</v>
      </c>
    </row>
    <row r="1198" spans="1:17">
      <c r="A1198" s="1973" t="s">
        <v>622</v>
      </c>
      <c r="B1198" s="1961" t="s">
        <v>1684</v>
      </c>
      <c r="C1198" s="1953"/>
      <c r="D1198" s="1953"/>
      <c r="E1198" s="1953"/>
      <c r="F1198" s="1953"/>
      <c r="G1198" s="1953"/>
      <c r="H1198" s="1953"/>
      <c r="I1198" s="1953"/>
      <c r="J1198" s="1953"/>
      <c r="K1198" s="1953"/>
      <c r="L1198" s="1989"/>
      <c r="M1198" s="1953"/>
      <c r="N1198" s="1985"/>
      <c r="O1198" s="1953"/>
      <c r="P1198" s="1977" t="s">
        <v>622</v>
      </c>
      <c r="Q1198" s="1988">
        <f>'Part VIII-Threshold Criteria'!Q104</f>
        <v>0</v>
      </c>
    </row>
    <row r="1199" spans="1:17">
      <c r="A1199" s="1973" t="s">
        <v>3392</v>
      </c>
      <c r="B1199" s="1961" t="s">
        <v>3639</v>
      </c>
      <c r="C1199" s="1953"/>
      <c r="D1199" s="1953"/>
      <c r="E1199" s="1953"/>
      <c r="F1199" s="1953"/>
      <c r="G1199" s="1953"/>
      <c r="H1199" s="1953"/>
      <c r="I1199" s="1953"/>
      <c r="J1199" s="1953"/>
      <c r="K1199" s="1953"/>
      <c r="L1199" s="1989"/>
      <c r="M1199" s="1953"/>
      <c r="N1199" s="1985"/>
      <c r="O1199" s="1953"/>
      <c r="P1199" s="1977" t="s">
        <v>3392</v>
      </c>
      <c r="Q1199" s="1988">
        <f>'Part VIII-Threshold Criteria'!Q105</f>
        <v>0</v>
      </c>
    </row>
    <row r="1200" spans="1:17">
      <c r="B1200" s="1873" t="s">
        <v>3779</v>
      </c>
      <c r="D1200" s="1873"/>
      <c r="E1200" s="1873"/>
      <c r="F1200" s="1873"/>
      <c r="G1200" s="1873"/>
      <c r="H1200" s="1872"/>
      <c r="I1200" s="1934"/>
      <c r="J1200" s="1934"/>
      <c r="K1200" s="1934"/>
      <c r="L1200" s="1836"/>
      <c r="M1200" s="1836"/>
      <c r="N1200" s="1836"/>
      <c r="O1200" s="1836"/>
      <c r="P1200" s="1836"/>
      <c r="Q1200" s="1836"/>
    </row>
    <row r="1201" spans="1:17" ht="409.5">
      <c r="A1201" s="1936" t="str">
        <f>'Part VIII-Threshold Criteria'!A107</f>
        <v xml:space="preserve">Tindall Fields III meets Threshold approval because the Novogradac Market Study at Tab 5 concludes on Page 88 that “…there is strong demand for the subject…” and on Page 89 in its “Recommendation” Novogradac states that “We believe that the Subject will be well received and (we) recommend the development as proposed…” The overall capture rate of only 1.7% is a very strong indicator of market need.
 Items G through J were answered by the Novogradac market analyst at our request, to help the DCA reviewer (also referenced at Tab 05-01-04):   G: “we are not aware of any DCA funded projects in the PMA with physical occupancy rates below 90 percent.  However, Tindall Fields I and II have been funded but are not yet constructed.  Tindall Seniors Towers is also below 90 percent occupancy but it appears that it may be stabilized prior to submitting your application.  I am not sure if DCA would include phase I and II.”
- H:  “No.  Economic conditions have remained stable over the past year.” 
- I:  “No.  In fact, its possible that some demand for the Subject will originate from outside of the PMA.”
- J: “No.”
25 of the 65 units will receive Project Based Vouchers from MHA per Tab 01-03-01, Tab 26-01, and Tab 41-01.
</v>
      </c>
      <c r="B1201" s="1936">
        <f>'Part VIII-Threshold Criteria'!B107</f>
        <v>0</v>
      </c>
      <c r="C1201" s="1936">
        <f>'Part VIII-Threshold Criteria'!C107</f>
        <v>0</v>
      </c>
      <c r="D1201" s="1936">
        <f>'Part VIII-Threshold Criteria'!D107</f>
        <v>0</v>
      </c>
      <c r="E1201" s="1936">
        <f>'Part VIII-Threshold Criteria'!E107</f>
        <v>0</v>
      </c>
      <c r="F1201" s="1936">
        <f>'Part VIII-Threshold Criteria'!F107</f>
        <v>0</v>
      </c>
      <c r="G1201" s="1936">
        <f>'Part VIII-Threshold Criteria'!G107</f>
        <v>0</v>
      </c>
      <c r="H1201" s="1936">
        <f>'Part VIII-Threshold Criteria'!H107</f>
        <v>0</v>
      </c>
      <c r="I1201" s="1936">
        <f>'Part VIII-Threshold Criteria'!I107</f>
        <v>0</v>
      </c>
      <c r="J1201" s="1936">
        <f>'Part VIII-Threshold Criteria'!J107</f>
        <v>0</v>
      </c>
      <c r="K1201" s="1936">
        <f>'Part VIII-Threshold Criteria'!K107</f>
        <v>0</v>
      </c>
      <c r="L1201" s="1936">
        <f>'Part VIII-Threshold Criteria'!L107</f>
        <v>0</v>
      </c>
      <c r="M1201" s="1936">
        <f>'Part VIII-Threshold Criteria'!M107</f>
        <v>0</v>
      </c>
      <c r="N1201" s="1936">
        <f>'Part VIII-Threshold Criteria'!N107</f>
        <v>0</v>
      </c>
      <c r="O1201" s="1936">
        <f>'Part VIII-Threshold Criteria'!O107</f>
        <v>0</v>
      </c>
      <c r="P1201" s="1936">
        <f>'Part VIII-Threshold Criteria'!P107</f>
        <v>0</v>
      </c>
      <c r="Q1201" s="1936">
        <f>'Part VIII-Threshold Criteria'!Q107</f>
        <v>0</v>
      </c>
    </row>
    <row r="1202" spans="1:17">
      <c r="B1202" s="1937" t="s">
        <v>1880</v>
      </c>
      <c r="C1202" s="1938"/>
      <c r="D1202" s="1939"/>
      <c r="E1202" s="1939"/>
      <c r="F1202" s="1939"/>
      <c r="G1202" s="1939"/>
      <c r="H1202" s="1939"/>
      <c r="I1202" s="1939"/>
      <c r="J1202" s="1939"/>
      <c r="K1202" s="1939"/>
      <c r="L1202" s="1939"/>
      <c r="M1202" s="1939"/>
      <c r="N1202" s="1939"/>
      <c r="O1202" s="1939"/>
      <c r="P1202" s="1939"/>
      <c r="Q1202" s="1939"/>
    </row>
    <row r="1203" spans="1:17">
      <c r="A1203" s="1936">
        <f>'Part VIII-Threshold Criteria'!A109</f>
        <v>0</v>
      </c>
      <c r="B1203" s="1936">
        <f>'Part VIII-Threshold Criteria'!B109</f>
        <v>0</v>
      </c>
      <c r="C1203" s="1936">
        <f>'Part VIII-Threshold Criteria'!C109</f>
        <v>0</v>
      </c>
      <c r="D1203" s="1936">
        <f>'Part VIII-Threshold Criteria'!D109</f>
        <v>0</v>
      </c>
      <c r="E1203" s="1936">
        <f>'Part VIII-Threshold Criteria'!E109</f>
        <v>0</v>
      </c>
      <c r="F1203" s="1936">
        <f>'Part VIII-Threshold Criteria'!F109</f>
        <v>0</v>
      </c>
      <c r="G1203" s="1936">
        <f>'Part VIII-Threshold Criteria'!G109</f>
        <v>0</v>
      </c>
      <c r="H1203" s="1936">
        <f>'Part VIII-Threshold Criteria'!H109</f>
        <v>0</v>
      </c>
      <c r="I1203" s="1936">
        <f>'Part VIII-Threshold Criteria'!I109</f>
        <v>0</v>
      </c>
      <c r="J1203" s="1936">
        <f>'Part VIII-Threshold Criteria'!J109</f>
        <v>0</v>
      </c>
      <c r="K1203" s="1936">
        <f>'Part VIII-Threshold Criteria'!K109</f>
        <v>0</v>
      </c>
      <c r="L1203" s="1936">
        <f>'Part VIII-Threshold Criteria'!L109</f>
        <v>0</v>
      </c>
      <c r="M1203" s="1936">
        <f>'Part VIII-Threshold Criteria'!M109</f>
        <v>0</v>
      </c>
      <c r="N1203" s="1936">
        <f>'Part VIII-Threshold Criteria'!N109</f>
        <v>0</v>
      </c>
      <c r="O1203" s="1936">
        <f>'Part VIII-Threshold Criteria'!O109</f>
        <v>0</v>
      </c>
      <c r="P1203" s="1936">
        <f>'Part VIII-Threshold Criteria'!P109</f>
        <v>0</v>
      </c>
      <c r="Q1203" s="1936">
        <f>'Part VIII-Threshold Criteria'!Q109</f>
        <v>0</v>
      </c>
    </row>
    <row r="1204" spans="1:17">
      <c r="A1204" s="1819" t="s">
        <v>535</v>
      </c>
      <c r="B1204" s="1819" t="s">
        <v>2671</v>
      </c>
      <c r="C1204" s="1819"/>
      <c r="D1204" s="1939"/>
      <c r="E1204" s="1939"/>
      <c r="F1204" s="1939"/>
      <c r="G1204" s="1939"/>
      <c r="H1204" s="1939"/>
      <c r="I1204" s="1939"/>
      <c r="J1204" s="1939"/>
      <c r="K1204" s="1939"/>
      <c r="L1204" s="1939"/>
      <c r="M1204" s="1939"/>
      <c r="O1204" s="1935" t="s">
        <v>1881</v>
      </c>
      <c r="P1204" s="1844">
        <f>'Part VIII-Threshold Criteria'!P110</f>
        <v>0</v>
      </c>
      <c r="Q1204" s="1844">
        <f>'Part VIII-Threshold Criteria'!Q110</f>
        <v>0</v>
      </c>
    </row>
    <row r="1206" spans="1:17">
      <c r="A1206" s="1975" t="s">
        <v>1999</v>
      </c>
      <c r="B1206" s="478" t="s">
        <v>498</v>
      </c>
      <c r="C1206" s="478"/>
      <c r="E1206" s="478"/>
      <c r="F1206" s="478"/>
      <c r="G1206" s="478"/>
      <c r="H1206" s="478"/>
      <c r="I1206" s="478"/>
      <c r="J1206" s="478"/>
      <c r="K1206" s="478"/>
      <c r="L1206" s="478"/>
      <c r="M1206" s="478"/>
      <c r="O1206" s="1977" t="s">
        <v>1999</v>
      </c>
      <c r="P1206" s="1942" t="str">
        <f>'Part VIII-Threshold Criteria'!P112</f>
        <v>Yes</v>
      </c>
      <c r="Q1206" s="1942">
        <f>'Part VIII-Threshold Criteria'!Q112</f>
        <v>0</v>
      </c>
    </row>
    <row r="1207" spans="1:17">
      <c r="A1207" s="1975" t="s">
        <v>2001</v>
      </c>
      <c r="B1207" s="478" t="s">
        <v>1316</v>
      </c>
      <c r="C1207" s="478"/>
      <c r="E1207" s="478"/>
      <c r="F1207" s="478"/>
      <c r="G1207" s="478"/>
      <c r="H1207" s="478"/>
      <c r="I1207" s="478"/>
      <c r="J1207" s="478"/>
      <c r="K1207" s="478"/>
      <c r="L1207" s="1872"/>
      <c r="M1207" s="1872"/>
      <c r="O1207" s="1977" t="s">
        <v>2001</v>
      </c>
      <c r="P1207" s="1942" t="str">
        <f>'Part VIII-Threshold Criteria'!P113</f>
        <v>Yes</v>
      </c>
      <c r="Q1207" s="1942">
        <f>'Part VIII-Threshold Criteria'!Q113</f>
        <v>0</v>
      </c>
    </row>
    <row r="1208" spans="1:17">
      <c r="A1208" s="478"/>
      <c r="C1208" s="478" t="s">
        <v>559</v>
      </c>
      <c r="E1208" s="1629"/>
      <c r="F1208" s="1629"/>
      <c r="G1208" s="1629"/>
      <c r="H1208" s="1629"/>
      <c r="I1208" s="1629"/>
      <c r="L1208" s="1977" t="s">
        <v>560</v>
      </c>
      <c r="M1208" s="1933" t="str">
        <f>'Part VIII-Threshold Criteria'!M114</f>
        <v>Appraisal Associates Group, LLC</v>
      </c>
      <c r="N1208" s="1933">
        <f>'Part VIII-Threshold Criteria'!N114</f>
        <v>0</v>
      </c>
      <c r="O1208" s="1933">
        <f>'Part VIII-Threshold Criteria'!O114</f>
        <v>0</v>
      </c>
      <c r="P1208" s="1629">
        <f>'Part VIII-Threshold Criteria'!P114</f>
        <v>0</v>
      </c>
      <c r="Q1208" s="1942">
        <f>'Part VIII-Threshold Criteria'!Q114</f>
        <v>0</v>
      </c>
    </row>
    <row r="1209" spans="1:17">
      <c r="A1209" s="1934"/>
      <c r="B1209" s="1987" t="s">
        <v>1750</v>
      </c>
      <c r="C1209" s="1872" t="s">
        <v>3493</v>
      </c>
      <c r="D1209" s="1990"/>
      <c r="E1209" s="1990"/>
      <c r="F1209" s="1990"/>
      <c r="G1209" s="1990"/>
      <c r="H1209" s="1990"/>
      <c r="I1209" s="1990"/>
      <c r="J1209" s="1990"/>
      <c r="K1209" s="1990"/>
      <c r="L1209" s="1990"/>
      <c r="M1209" s="1990"/>
      <c r="O1209" s="1987" t="s">
        <v>1750</v>
      </c>
      <c r="P1209" s="1942" t="str">
        <f>'Part VIII-Threshold Criteria'!P115</f>
        <v>Yes</v>
      </c>
      <c r="Q1209" s="1942">
        <f>'Part VIII-Threshold Criteria'!Q115</f>
        <v>0</v>
      </c>
    </row>
    <row r="1210" spans="1:17">
      <c r="A1210" s="1934"/>
      <c r="B1210" s="1977" t="s">
        <v>1751</v>
      </c>
      <c r="C1210" s="1872" t="s">
        <v>3494</v>
      </c>
      <c r="D1210" s="1990"/>
      <c r="E1210" s="1990"/>
      <c r="F1210" s="1990"/>
      <c r="G1210" s="1990"/>
      <c r="H1210" s="1990"/>
      <c r="I1210" s="1990"/>
      <c r="J1210" s="1990"/>
      <c r="K1210" s="1990"/>
      <c r="L1210" s="1990"/>
      <c r="M1210" s="1990"/>
      <c r="O1210" s="1977" t="s">
        <v>1751</v>
      </c>
      <c r="P1210" s="1942" t="str">
        <f>'Part VIII-Threshold Criteria'!P116</f>
        <v>No</v>
      </c>
      <c r="Q1210" s="1942">
        <f>'Part VIII-Threshold Criteria'!Q116</f>
        <v>0</v>
      </c>
    </row>
    <row r="1211" spans="1:17">
      <c r="A1211" s="1934"/>
      <c r="B1211" s="1987" t="s">
        <v>1752</v>
      </c>
      <c r="C1211" s="1872" t="s">
        <v>2898</v>
      </c>
      <c r="D1211" s="1872"/>
      <c r="E1211" s="1872"/>
      <c r="F1211" s="1872"/>
      <c r="G1211" s="1872"/>
      <c r="H1211" s="1872"/>
      <c r="I1211" s="1872"/>
      <c r="J1211" s="1872"/>
      <c r="K1211" s="1872"/>
      <c r="L1211" s="1872"/>
      <c r="M1211" s="1874"/>
      <c r="O1211" s="1987" t="s">
        <v>1752</v>
      </c>
      <c r="P1211" s="1942" t="str">
        <f>'Part VIII-Threshold Criteria'!P117</f>
        <v>Yes</v>
      </c>
      <c r="Q1211" s="1942">
        <f>'Part VIII-Threshold Criteria'!Q117</f>
        <v>0</v>
      </c>
    </row>
    <row r="1212" spans="1:17" ht="12.75" customHeight="1">
      <c r="A1212" s="1991"/>
      <c r="B1212" s="1987" t="s">
        <v>2381</v>
      </c>
      <c r="C1212" s="1936" t="s">
        <v>2706</v>
      </c>
      <c r="D1212" s="1936"/>
      <c r="E1212" s="1936"/>
      <c r="F1212" s="1936"/>
      <c r="G1212" s="1936"/>
      <c r="H1212" s="1936"/>
      <c r="I1212" s="1936"/>
      <c r="J1212" s="1936"/>
      <c r="K1212" s="1936"/>
      <c r="L1212" s="1936"/>
      <c r="M1212" s="1936"/>
      <c r="N1212" s="1936"/>
      <c r="O1212" s="1987" t="s">
        <v>2381</v>
      </c>
      <c r="P1212" s="1988">
        <f>'Part VIII-Threshold Criteria'!P118</f>
        <v>0</v>
      </c>
      <c r="Q1212" s="1988">
        <f>'Part VIII-Threshold Criteria'!Q118</f>
        <v>0</v>
      </c>
    </row>
    <row r="1213" spans="1:17">
      <c r="A1213" s="1975" t="s">
        <v>757</v>
      </c>
      <c r="B1213" s="478" t="s">
        <v>147</v>
      </c>
      <c r="D1213" s="478"/>
      <c r="E1213" s="478"/>
      <c r="F1213" s="478"/>
      <c r="G1213" s="478"/>
      <c r="H1213" s="478"/>
      <c r="I1213" s="478"/>
      <c r="J1213" s="478"/>
      <c r="K1213" s="478"/>
      <c r="L1213" s="478"/>
      <c r="M1213" s="478"/>
      <c r="O1213" s="1977" t="s">
        <v>757</v>
      </c>
      <c r="P1213" s="1942" t="str">
        <f>'Part VIII-Threshold Criteria'!P119</f>
        <v>No</v>
      </c>
      <c r="Q1213" s="1942">
        <f>'Part VIII-Threshold Criteria'!Q119</f>
        <v>0</v>
      </c>
    </row>
    <row r="1214" spans="1:17">
      <c r="A1214" s="1975" t="s">
        <v>2131</v>
      </c>
      <c r="B1214" s="478" t="s">
        <v>1440</v>
      </c>
      <c r="D1214" s="478"/>
      <c r="E1214" s="478"/>
      <c r="G1214" s="478"/>
      <c r="I1214" s="478"/>
      <c r="K1214" s="478"/>
      <c r="L1214" s="1872"/>
      <c r="M1214" s="1872"/>
      <c r="N1214" s="1872"/>
      <c r="O1214" s="1977" t="s">
        <v>2131</v>
      </c>
      <c r="P1214" s="1872"/>
      <c r="Q1214" s="1872"/>
    </row>
    <row r="1215" spans="1:17">
      <c r="B1215" s="1977" t="s">
        <v>1750</v>
      </c>
      <c r="C1215" s="478" t="s">
        <v>1441</v>
      </c>
      <c r="E1215" s="478"/>
      <c r="F1215" s="478"/>
      <c r="G1215" s="478"/>
      <c r="H1215" s="478"/>
      <c r="I1215" s="478"/>
      <c r="J1215" s="478"/>
      <c r="K1215" s="478"/>
      <c r="L1215" s="1872"/>
      <c r="M1215" s="1872"/>
      <c r="O1215" s="1977" t="s">
        <v>1750</v>
      </c>
      <c r="P1215" s="1942" t="str">
        <f>'Part VIII-Threshold Criteria'!P121</f>
        <v>Yes</v>
      </c>
      <c r="Q1215" s="1942">
        <f>'Part VIII-Threshold Criteria'!Q121</f>
        <v>0</v>
      </c>
    </row>
    <row r="1216" spans="1:17">
      <c r="B1216" s="1977" t="s">
        <v>1751</v>
      </c>
      <c r="C1216" s="478" t="s">
        <v>1442</v>
      </c>
      <c r="E1216" s="478"/>
      <c r="F1216" s="478"/>
      <c r="G1216" s="478"/>
      <c r="H1216" s="478"/>
      <c r="I1216" s="478"/>
      <c r="J1216" s="478"/>
      <c r="K1216" s="478"/>
      <c r="L1216" s="1872"/>
      <c r="M1216" s="1872"/>
      <c r="O1216" s="1977" t="s">
        <v>1751</v>
      </c>
      <c r="P1216" s="1942" t="str">
        <f>'Part VIII-Threshold Criteria'!P122</f>
        <v>Yes</v>
      </c>
      <c r="Q1216" s="1942">
        <f>'Part VIII-Threshold Criteria'!Q122</f>
        <v>0</v>
      </c>
    </row>
    <row r="1217" spans="1:17">
      <c r="B1217" s="1977" t="s">
        <v>1752</v>
      </c>
      <c r="C1217" s="478" t="s">
        <v>1443</v>
      </c>
      <c r="E1217" s="478"/>
      <c r="F1217" s="478"/>
      <c r="G1217" s="478"/>
      <c r="H1217" s="478"/>
      <c r="I1217" s="478"/>
      <c r="J1217" s="478"/>
      <c r="K1217" s="478"/>
      <c r="L1217" s="1872"/>
      <c r="M1217" s="1872"/>
      <c r="O1217" s="1977" t="s">
        <v>1752</v>
      </c>
      <c r="P1217" s="1942" t="str">
        <f>'Part VIII-Threshold Criteria'!P123</f>
        <v>Yes</v>
      </c>
      <c r="Q1217" s="1942">
        <f>'Part VIII-Threshold Criteria'!Q123</f>
        <v>0</v>
      </c>
    </row>
    <row r="1218" spans="1:17">
      <c r="B1218" s="1873" t="s">
        <v>3779</v>
      </c>
      <c r="D1218" s="1873"/>
      <c r="E1218" s="1873"/>
      <c r="F1218" s="1873"/>
      <c r="G1218" s="1873"/>
      <c r="H1218" s="1872"/>
      <c r="I1218" s="1934"/>
      <c r="J1218" s="1934"/>
      <c r="K1218" s="1934"/>
      <c r="L1218" s="1836"/>
      <c r="M1218" s="1836"/>
      <c r="N1218" s="1836"/>
      <c r="O1218" s="1836"/>
      <c r="P1218" s="1836"/>
      <c r="Q1218" s="1836"/>
    </row>
    <row r="1219" spans="1:17" ht="409.5">
      <c r="A1219" s="1936" t="str">
        <f>'Part VIII-Threshold Criteria'!A125</f>
        <v xml:space="preserve">There is an identity of interest between MHA (the ground lessor) and In-Fill Housing II, Inc., its non-profit affiliate, as lessee. Although this is a ground lease and not a sale, per DCA 2018 Workshop Q&amp;A dated March 30, 2018, # 14, an appraisal was obtained for Tindall Fields III.  The appraised value was determined to be $358,000 as of April 10, 2018, a value much greater than the ground lease cost of $10/year for the 55 year period.  Tindall Fields therefore meets Threshold approval; please see Tab 6-01.
For 6-D.1:  The property was rezoned in October 2009, per Macon Bibb Planning &amp; Zoning report at Tab 10-01.
</v>
      </c>
      <c r="B1219" s="1936">
        <f>'Part VIII-Threshold Criteria'!B125</f>
        <v>0</v>
      </c>
      <c r="C1219" s="1936">
        <f>'Part VIII-Threshold Criteria'!C125</f>
        <v>0</v>
      </c>
      <c r="D1219" s="1936">
        <f>'Part VIII-Threshold Criteria'!D125</f>
        <v>0</v>
      </c>
      <c r="E1219" s="1936">
        <f>'Part VIII-Threshold Criteria'!E125</f>
        <v>0</v>
      </c>
      <c r="F1219" s="1936">
        <f>'Part VIII-Threshold Criteria'!F125</f>
        <v>0</v>
      </c>
      <c r="G1219" s="1936">
        <f>'Part VIII-Threshold Criteria'!G125</f>
        <v>0</v>
      </c>
      <c r="H1219" s="1936">
        <f>'Part VIII-Threshold Criteria'!H125</f>
        <v>0</v>
      </c>
      <c r="I1219" s="1936">
        <f>'Part VIII-Threshold Criteria'!I125</f>
        <v>0</v>
      </c>
      <c r="J1219" s="1936">
        <f>'Part VIII-Threshold Criteria'!J125</f>
        <v>0</v>
      </c>
      <c r="K1219" s="1936">
        <f>'Part VIII-Threshold Criteria'!K125</f>
        <v>0</v>
      </c>
      <c r="L1219" s="1936">
        <f>'Part VIII-Threshold Criteria'!L125</f>
        <v>0</v>
      </c>
      <c r="M1219" s="1936">
        <f>'Part VIII-Threshold Criteria'!M125</f>
        <v>0</v>
      </c>
      <c r="N1219" s="1936">
        <f>'Part VIII-Threshold Criteria'!N125</f>
        <v>0</v>
      </c>
      <c r="O1219" s="1936">
        <f>'Part VIII-Threshold Criteria'!O125</f>
        <v>0</v>
      </c>
      <c r="P1219" s="1936">
        <f>'Part VIII-Threshold Criteria'!P125</f>
        <v>0</v>
      </c>
      <c r="Q1219" s="1936">
        <f>'Part VIII-Threshold Criteria'!Q125</f>
        <v>0</v>
      </c>
    </row>
    <row r="1220" spans="1:17">
      <c r="B1220" s="1937" t="s">
        <v>1880</v>
      </c>
      <c r="C1220" s="1938"/>
      <c r="D1220" s="1939"/>
      <c r="E1220" s="1939"/>
      <c r="F1220" s="1939"/>
      <c r="G1220" s="1939"/>
      <c r="H1220" s="1939"/>
      <c r="I1220" s="1939"/>
      <c r="J1220" s="1939"/>
      <c r="K1220" s="1939"/>
      <c r="L1220" s="1939"/>
      <c r="M1220" s="1939"/>
      <c r="N1220" s="1939"/>
      <c r="O1220" s="1939"/>
      <c r="P1220" s="1939"/>
      <c r="Q1220" s="1939"/>
    </row>
    <row r="1221" spans="1:17">
      <c r="A1221" s="1936">
        <f>'Part VIII-Threshold Criteria'!A127</f>
        <v>0</v>
      </c>
      <c r="B1221" s="1936">
        <f>'Part VIII-Threshold Criteria'!B127</f>
        <v>0</v>
      </c>
      <c r="C1221" s="1936">
        <f>'Part VIII-Threshold Criteria'!C127</f>
        <v>0</v>
      </c>
      <c r="D1221" s="1936">
        <f>'Part VIII-Threshold Criteria'!D127</f>
        <v>0</v>
      </c>
      <c r="E1221" s="1936">
        <f>'Part VIII-Threshold Criteria'!E127</f>
        <v>0</v>
      </c>
      <c r="F1221" s="1936">
        <f>'Part VIII-Threshold Criteria'!F127</f>
        <v>0</v>
      </c>
      <c r="G1221" s="1936">
        <f>'Part VIII-Threshold Criteria'!G127</f>
        <v>0</v>
      </c>
      <c r="H1221" s="1936">
        <f>'Part VIII-Threshold Criteria'!H127</f>
        <v>0</v>
      </c>
      <c r="I1221" s="1936">
        <f>'Part VIII-Threshold Criteria'!I127</f>
        <v>0</v>
      </c>
      <c r="J1221" s="1936">
        <f>'Part VIII-Threshold Criteria'!J127</f>
        <v>0</v>
      </c>
      <c r="K1221" s="1936">
        <f>'Part VIII-Threshold Criteria'!K127</f>
        <v>0</v>
      </c>
      <c r="L1221" s="1936">
        <f>'Part VIII-Threshold Criteria'!L127</f>
        <v>0</v>
      </c>
      <c r="M1221" s="1936">
        <f>'Part VIII-Threshold Criteria'!M127</f>
        <v>0</v>
      </c>
      <c r="N1221" s="1936">
        <f>'Part VIII-Threshold Criteria'!N127</f>
        <v>0</v>
      </c>
      <c r="O1221" s="1936">
        <f>'Part VIII-Threshold Criteria'!O127</f>
        <v>0</v>
      </c>
      <c r="P1221" s="1936">
        <f>'Part VIII-Threshold Criteria'!P127</f>
        <v>0</v>
      </c>
      <c r="Q1221" s="1936">
        <f>'Part VIII-Threshold Criteria'!Q127</f>
        <v>0</v>
      </c>
    </row>
    <row r="1222" spans="1:17">
      <c r="A1222" s="1819" t="s">
        <v>780</v>
      </c>
      <c r="B1222" s="1819" t="s">
        <v>2672</v>
      </c>
      <c r="C1222" s="1872"/>
      <c r="D1222" s="1939"/>
      <c r="E1222" s="1939"/>
      <c r="F1222" s="1939"/>
      <c r="G1222" s="1939"/>
      <c r="H1222" s="1939"/>
      <c r="I1222" s="1939"/>
      <c r="J1222" s="1939"/>
      <c r="K1222" s="1939"/>
      <c r="L1222" s="1939"/>
      <c r="M1222" s="1939"/>
      <c r="O1222" s="1935" t="s">
        <v>1881</v>
      </c>
      <c r="P1222" s="1844">
        <f>'Part VIII-Threshold Criteria'!P128</f>
        <v>0</v>
      </c>
      <c r="Q1222" s="1844">
        <f>'Part VIII-Threshold Criteria'!Q128</f>
        <v>0</v>
      </c>
    </row>
    <row r="1224" spans="1:17">
      <c r="A1224" s="1975" t="s">
        <v>1999</v>
      </c>
      <c r="B1224" s="478" t="s">
        <v>3663</v>
      </c>
      <c r="D1224" s="1901"/>
      <c r="E1224" s="1901"/>
      <c r="F1224" s="1901"/>
      <c r="G1224" s="1901"/>
      <c r="H1224" s="1901"/>
      <c r="I1224" s="1629"/>
      <c r="J1224" s="1629"/>
      <c r="K1224" s="1977" t="s">
        <v>1999</v>
      </c>
      <c r="L1224" s="1844" t="str">
        <f>'Part VIII-Threshold Criteria'!L130</f>
        <v xml:space="preserve">Geotechnical &amp; Environmental Consultants, Inc. </v>
      </c>
      <c r="M1224" s="1844">
        <f>'Part VIII-Threshold Criteria'!M130</f>
        <v>0</v>
      </c>
      <c r="N1224" s="1844">
        <f>'Part VIII-Threshold Criteria'!N130</f>
        <v>0</v>
      </c>
      <c r="O1224" s="1844">
        <f>'Part VIII-Threshold Criteria'!O130</f>
        <v>0</v>
      </c>
      <c r="P1224" s="1844">
        <f>'Part VIII-Threshold Criteria'!P130</f>
        <v>0</v>
      </c>
      <c r="Q1224" s="1942">
        <f>'Part VIII-Threshold Criteria'!Q130</f>
        <v>0</v>
      </c>
    </row>
    <row r="1225" spans="1:17">
      <c r="A1225" s="1975" t="s">
        <v>2001</v>
      </c>
      <c r="B1225" s="478" t="s">
        <v>1550</v>
      </c>
      <c r="D1225" s="1901"/>
      <c r="E1225" s="1901"/>
      <c r="F1225" s="1901"/>
      <c r="G1225" s="1901"/>
      <c r="H1225" s="1901"/>
      <c r="I1225" s="1629"/>
      <c r="J1225" s="1629"/>
      <c r="K1225" s="1901"/>
      <c r="L1225" s="1866"/>
      <c r="O1225" s="1977" t="s">
        <v>2001</v>
      </c>
      <c r="P1225" s="1942" t="str">
        <f>'Part VIII-Threshold Criteria'!P131</f>
        <v>No</v>
      </c>
      <c r="Q1225" s="1942">
        <f>'Part VIII-Threshold Criteria'!Q131</f>
        <v>0</v>
      </c>
    </row>
    <row r="1226" spans="1:17">
      <c r="A1226" s="1975" t="s">
        <v>757</v>
      </c>
      <c r="B1226" s="478" t="s">
        <v>152</v>
      </c>
      <c r="D1226" s="1901"/>
      <c r="E1226" s="1901"/>
      <c r="F1226" s="1901"/>
      <c r="G1226" s="1901"/>
      <c r="H1226" s="1901"/>
      <c r="I1226" s="1629"/>
      <c r="J1226" s="1629"/>
      <c r="K1226" s="1866"/>
      <c r="L1226" s="1866"/>
      <c r="O1226" s="1977" t="s">
        <v>757</v>
      </c>
      <c r="P1226" s="1942" t="str">
        <f>'Part VIII-Threshold Criteria'!P132</f>
        <v>Yes</v>
      </c>
      <c r="Q1226" s="1942">
        <f>'Part VIII-Threshold Criteria'!Q132</f>
        <v>0</v>
      </c>
    </row>
    <row r="1227" spans="1:17">
      <c r="A1227" s="1975"/>
      <c r="B1227" s="1977" t="s">
        <v>1750</v>
      </c>
      <c r="C1227" s="478" t="s">
        <v>2705</v>
      </c>
      <c r="E1227" s="1901"/>
      <c r="F1227" s="1901"/>
      <c r="G1227" s="1901"/>
      <c r="H1227" s="1901"/>
      <c r="I1227" s="1629"/>
      <c r="J1227" s="1629"/>
      <c r="K1227" s="1977" t="s">
        <v>1750</v>
      </c>
      <c r="L1227" s="1844" t="str">
        <f>'Part VIII-Threshold Criteria'!L133</f>
        <v xml:space="preserve">Geotechnical &amp; Environmental Consultants, Inc. </v>
      </c>
      <c r="M1227" s="1844">
        <f>'Part VIII-Threshold Criteria'!M133</f>
        <v>0</v>
      </c>
      <c r="N1227" s="1844">
        <f>'Part VIII-Threshold Criteria'!N133</f>
        <v>0</v>
      </c>
      <c r="O1227" s="1844">
        <f>'Part VIII-Threshold Criteria'!O133</f>
        <v>0</v>
      </c>
      <c r="P1227" s="1844">
        <f>'Part VIII-Threshold Criteria'!P133</f>
        <v>0</v>
      </c>
      <c r="Q1227" s="1942">
        <f>'Part VIII-Threshold Criteria'!Q133</f>
        <v>0</v>
      </c>
    </row>
    <row r="1228" spans="1:17">
      <c r="A1228" s="1855"/>
      <c r="B1228" s="1977" t="s">
        <v>1751</v>
      </c>
      <c r="C1228" s="478" t="s">
        <v>3495</v>
      </c>
      <c r="E1228" s="1629"/>
      <c r="F1228" s="1629"/>
      <c r="G1228" s="1629"/>
      <c r="H1228" s="478"/>
      <c r="I1228" s="1629"/>
      <c r="J1228" s="1629"/>
      <c r="K1228" s="1901"/>
      <c r="L1228" s="1866"/>
      <c r="M1228" s="1866"/>
      <c r="O1228" s="1977" t="s">
        <v>1751</v>
      </c>
      <c r="P1228" s="1942">
        <f>'Part VIII-Threshold Criteria'!P134</f>
        <v>63.3</v>
      </c>
      <c r="Q1228" s="1942">
        <f>'Part VIII-Threshold Criteria'!Q134</f>
        <v>0</v>
      </c>
    </row>
    <row r="1229" spans="1:17">
      <c r="A1229" s="1855"/>
      <c r="B1229" s="1977" t="s">
        <v>1752</v>
      </c>
      <c r="C1229" s="478" t="s">
        <v>4162</v>
      </c>
      <c r="E1229" s="1629"/>
      <c r="F1229" s="1629"/>
      <c r="G1229" s="1629"/>
      <c r="H1229" s="478"/>
      <c r="I1229" s="1629"/>
      <c r="J1229" s="1629"/>
      <c r="K1229" s="1901"/>
      <c r="L1229" s="1866"/>
      <c r="M1229" s="1866"/>
      <c r="N1229" s="1866"/>
      <c r="O1229" s="1866"/>
    </row>
    <row r="1230" spans="1:17" ht="78.75">
      <c r="A1230" s="1836"/>
      <c r="B1230" s="1977"/>
      <c r="C1230" s="1901" t="str">
        <f>'Part VIII-Threshold Criteria'!C136</f>
        <v>Roadway (Little Richard Penniman Blvd) and Railway (Norfolk Southern)</v>
      </c>
      <c r="D1230" s="1901">
        <f>'Part VIII-Threshold Criteria'!D136</f>
        <v>0</v>
      </c>
      <c r="E1230" s="1901">
        <f>'Part VIII-Threshold Criteria'!E136</f>
        <v>0</v>
      </c>
      <c r="F1230" s="1901">
        <f>'Part VIII-Threshold Criteria'!F136</f>
        <v>0</v>
      </c>
      <c r="G1230" s="1901">
        <f>'Part VIII-Threshold Criteria'!G136</f>
        <v>0</v>
      </c>
      <c r="H1230" s="1901">
        <f>'Part VIII-Threshold Criteria'!H136</f>
        <v>0</v>
      </c>
      <c r="I1230" s="1901">
        <f>'Part VIII-Threshold Criteria'!I136</f>
        <v>0</v>
      </c>
      <c r="J1230" s="1901">
        <f>'Part VIII-Threshold Criteria'!J136</f>
        <v>0</v>
      </c>
      <c r="K1230" s="1901">
        <f>'Part VIII-Threshold Criteria'!K136</f>
        <v>0</v>
      </c>
      <c r="L1230" s="1901">
        <f>'Part VIII-Threshold Criteria'!L136</f>
        <v>0</v>
      </c>
      <c r="M1230" s="1901">
        <f>'Part VIII-Threshold Criteria'!M136</f>
        <v>0</v>
      </c>
      <c r="N1230" s="1901">
        <f>'Part VIII-Threshold Criteria'!N136</f>
        <v>0</v>
      </c>
      <c r="O1230" s="1901">
        <f>'Part VIII-Threshold Criteria'!O136</f>
        <v>0</v>
      </c>
      <c r="P1230" s="1901">
        <f>'Part VIII-Threshold Criteria'!P136</f>
        <v>0</v>
      </c>
      <c r="Q1230" s="1901">
        <f>'Part VIII-Threshold Criteria'!Q136</f>
        <v>0</v>
      </c>
    </row>
    <row r="1231" spans="1:17">
      <c r="A1231" s="1975" t="s">
        <v>2131</v>
      </c>
      <c r="B1231" s="478" t="s">
        <v>1272</v>
      </c>
      <c r="D1231" s="1901"/>
      <c r="E1231" s="1901"/>
      <c r="F1231" s="1901"/>
      <c r="G1231" s="1901"/>
      <c r="H1231" s="1901"/>
      <c r="I1231" s="1629"/>
      <c r="J1231" s="1629"/>
      <c r="K1231" s="1901"/>
      <c r="L1231" s="1866"/>
      <c r="M1231" s="1866"/>
      <c r="N1231" s="1866"/>
      <c r="O1231" s="1977" t="s">
        <v>2131</v>
      </c>
    </row>
    <row r="1232" spans="1:17">
      <c r="A1232" s="1975"/>
      <c r="B1232" s="1977" t="s">
        <v>1750</v>
      </c>
      <c r="C1232" s="478" t="s">
        <v>150</v>
      </c>
      <c r="E1232" s="1901"/>
      <c r="F1232" s="1901"/>
      <c r="G1232" s="1901"/>
      <c r="H1232" s="1901"/>
      <c r="I1232" s="1629"/>
      <c r="J1232" s="1629"/>
      <c r="K1232" s="1901"/>
      <c r="L1232" s="1866"/>
      <c r="M1232" s="1866"/>
      <c r="O1232" s="1977" t="s">
        <v>1750</v>
      </c>
      <c r="P1232" s="1942" t="str">
        <f>'Part VIII-Threshold Criteria'!P138</f>
        <v>No</v>
      </c>
      <c r="Q1232" s="1942">
        <f>'Part VIII-Threshold Criteria'!Q138</f>
        <v>0</v>
      </c>
    </row>
    <row r="1233" spans="1:17">
      <c r="A1233" s="1975"/>
      <c r="B1233" s="1977" t="s">
        <v>1751</v>
      </c>
      <c r="C1233" s="478" t="s">
        <v>1273</v>
      </c>
      <c r="E1233" s="1901"/>
      <c r="F1233" s="1901"/>
      <c r="G1233" s="1901"/>
      <c r="H1233" s="1629"/>
      <c r="I1233" s="1629"/>
      <c r="J1233" s="1629"/>
      <c r="K1233" s="1901"/>
      <c r="L1233" s="1866"/>
      <c r="M1233" s="1866"/>
      <c r="O1233" s="1977" t="s">
        <v>1751</v>
      </c>
      <c r="P1233" s="1942" t="str">
        <f>'Part VIII-Threshold Criteria'!P139</f>
        <v>No</v>
      </c>
      <c r="Q1233" s="1942">
        <f>'Part VIII-Threshold Criteria'!Q139</f>
        <v>0</v>
      </c>
    </row>
    <row r="1234" spans="1:17">
      <c r="A1234" s="1975"/>
      <c r="B1234" s="1977"/>
      <c r="C1234" s="478" t="s">
        <v>2649</v>
      </c>
      <c r="E1234" s="1977" t="s">
        <v>2451</v>
      </c>
      <c r="F1234" s="478" t="s">
        <v>2650</v>
      </c>
      <c r="G1234" s="1629"/>
      <c r="H1234" s="478"/>
      <c r="I1234" s="1629"/>
      <c r="J1234" s="1629"/>
      <c r="K1234" s="1901"/>
      <c r="L1234" s="1866"/>
      <c r="M1234" s="1866"/>
      <c r="O1234" s="1977" t="s">
        <v>2451</v>
      </c>
      <c r="P1234" s="1992">
        <f>'Part VIII-Threshold Criteria'!P140</f>
        <v>0</v>
      </c>
      <c r="Q1234" s="1992">
        <f>'Part VIII-Threshold Criteria'!Q140</f>
        <v>0</v>
      </c>
    </row>
    <row r="1235" spans="1:17">
      <c r="A1235" s="1975"/>
      <c r="B1235" s="1977"/>
      <c r="E1235" s="1977" t="s">
        <v>2452</v>
      </c>
      <c r="F1235" s="478" t="s">
        <v>2651</v>
      </c>
      <c r="G1235" s="1629"/>
      <c r="H1235" s="478"/>
      <c r="I1235" s="1629"/>
      <c r="J1235" s="1629"/>
      <c r="K1235" s="1901"/>
      <c r="L1235" s="1866"/>
      <c r="M1235" s="1866"/>
      <c r="O1235" s="1977" t="s">
        <v>2452</v>
      </c>
      <c r="P1235" s="1942">
        <f>'Part VIII-Threshold Criteria'!P141</f>
        <v>0</v>
      </c>
      <c r="Q1235" s="1942">
        <f>'Part VIII-Threshold Criteria'!Q141</f>
        <v>0</v>
      </c>
    </row>
    <row r="1236" spans="1:17">
      <c r="A1236" s="1975"/>
      <c r="B1236" s="1977"/>
      <c r="E1236" s="1977" t="s">
        <v>2453</v>
      </c>
      <c r="F1236" s="478" t="s">
        <v>2652</v>
      </c>
      <c r="G1236" s="1629"/>
      <c r="H1236" s="478"/>
      <c r="I1236" s="1629"/>
      <c r="J1236" s="1629"/>
      <c r="K1236" s="1901"/>
      <c r="L1236" s="1866"/>
      <c r="M1236" s="1866"/>
      <c r="O1236" s="1977" t="s">
        <v>2453</v>
      </c>
      <c r="P1236" s="1942">
        <f>'Part VIII-Threshold Criteria'!P142</f>
        <v>0</v>
      </c>
      <c r="Q1236" s="1942">
        <f>'Part VIII-Threshold Criteria'!Q142</f>
        <v>0</v>
      </c>
    </row>
    <row r="1237" spans="1:17">
      <c r="A1237" s="1975"/>
      <c r="B1237" s="1977" t="s">
        <v>1752</v>
      </c>
      <c r="C1237" s="478" t="s">
        <v>1274</v>
      </c>
      <c r="E1237" s="1901"/>
      <c r="F1237" s="1901"/>
      <c r="G1237" s="1901"/>
      <c r="H1237" s="478"/>
      <c r="I1237" s="1629"/>
      <c r="J1237" s="1629"/>
      <c r="K1237" s="1901"/>
      <c r="L1237" s="1866"/>
      <c r="M1237" s="1866"/>
      <c r="O1237" s="1977" t="s">
        <v>1752</v>
      </c>
      <c r="P1237" s="1942" t="str">
        <f>'Part VIII-Threshold Criteria'!P143</f>
        <v>No</v>
      </c>
      <c r="Q1237" s="1942">
        <f>'Part VIII-Threshold Criteria'!Q143</f>
        <v>0</v>
      </c>
    </row>
    <row r="1238" spans="1:17">
      <c r="A1238" s="1975"/>
      <c r="B1238" s="1977"/>
      <c r="C1238" s="478" t="s">
        <v>2649</v>
      </c>
      <c r="E1238" s="1977" t="s">
        <v>2451</v>
      </c>
      <c r="F1238" s="478" t="s">
        <v>2653</v>
      </c>
      <c r="G1238" s="1629"/>
      <c r="H1238" s="478"/>
      <c r="I1238" s="1629"/>
      <c r="J1238" s="1629"/>
      <c r="K1238" s="1901"/>
      <c r="L1238" s="1866"/>
      <c r="O1238" s="1977" t="s">
        <v>2451</v>
      </c>
      <c r="P1238" s="1992">
        <f>'Part VIII-Threshold Criteria'!P144</f>
        <v>0</v>
      </c>
      <c r="Q1238" s="1992">
        <f>'Part VIII-Threshold Criteria'!Q144</f>
        <v>0</v>
      </c>
    </row>
    <row r="1239" spans="1:17">
      <c r="A1239" s="1975"/>
      <c r="B1239" s="1977"/>
      <c r="E1239" s="1977" t="s">
        <v>2452</v>
      </c>
      <c r="F1239" s="478" t="s">
        <v>2654</v>
      </c>
      <c r="G1239" s="1629"/>
      <c r="H1239" s="478"/>
      <c r="I1239" s="1629"/>
      <c r="J1239" s="1629"/>
      <c r="O1239" s="1977" t="s">
        <v>2452</v>
      </c>
      <c r="P1239" s="1942">
        <f>'Part VIII-Threshold Criteria'!P145</f>
        <v>0</v>
      </c>
      <c r="Q1239" s="1942">
        <f>'Part VIII-Threshold Criteria'!Q145</f>
        <v>0</v>
      </c>
    </row>
    <row r="1240" spans="1:17">
      <c r="A1240" s="1975"/>
      <c r="B1240" s="1977"/>
      <c r="E1240" s="1977" t="s">
        <v>2453</v>
      </c>
      <c r="F1240" s="478" t="s">
        <v>2652</v>
      </c>
      <c r="G1240" s="1629"/>
      <c r="H1240" s="478"/>
      <c r="I1240" s="1629"/>
      <c r="J1240" s="1629"/>
      <c r="O1240" s="1977" t="s">
        <v>2453</v>
      </c>
      <c r="P1240" s="1942">
        <f>'Part VIII-Threshold Criteria'!P146</f>
        <v>0</v>
      </c>
      <c r="Q1240" s="1942">
        <f>'Part VIII-Threshold Criteria'!Q146</f>
        <v>0</v>
      </c>
    </row>
    <row r="1241" spans="1:17">
      <c r="A1241" s="478"/>
      <c r="B1241" s="1977" t="s">
        <v>2381</v>
      </c>
      <c r="C1241" s="478" t="s">
        <v>2655</v>
      </c>
      <c r="E1241" s="1901"/>
      <c r="F1241" s="1901"/>
      <c r="G1241" s="1901"/>
      <c r="H1241" s="1901"/>
      <c r="I1241" s="1629"/>
      <c r="J1241" s="1629"/>
      <c r="O1241" s="1977" t="s">
        <v>2381</v>
      </c>
      <c r="P1241" s="1942" t="str">
        <f>'Part VIII-Threshold Criteria'!P147</f>
        <v>No</v>
      </c>
      <c r="Q1241" s="1942">
        <f>'Part VIII-Threshold Criteria'!Q147</f>
        <v>0</v>
      </c>
    </row>
    <row r="1242" spans="1:17">
      <c r="A1242" s="1975" t="s">
        <v>1748</v>
      </c>
      <c r="B1242" s="1872" t="s">
        <v>2430</v>
      </c>
      <c r="D1242" s="1901"/>
      <c r="E1242" s="1901"/>
      <c r="F1242" s="1901"/>
      <c r="G1242" s="1901"/>
      <c r="H1242" s="1901"/>
      <c r="I1242" s="1629"/>
      <c r="J1242" s="1629"/>
      <c r="K1242" s="1901"/>
      <c r="L1242" s="1866"/>
      <c r="M1242" s="1866"/>
      <c r="N1242" s="1866"/>
      <c r="O1242" s="1866"/>
      <c r="P1242" s="1866"/>
      <c r="Q1242" s="1866"/>
    </row>
    <row r="1243" spans="1:17">
      <c r="B1243" s="1977" t="s">
        <v>1750</v>
      </c>
      <c r="C1243" s="478" t="s">
        <v>2511</v>
      </c>
      <c r="E1243" s="1901"/>
      <c r="F1243" s="1942" t="str">
        <f>'Part VIII-Threshold Criteria'!F149</f>
        <v>No</v>
      </c>
      <c r="G1243" s="1942">
        <f>'Part VIII-Threshold Criteria'!G149</f>
        <v>0</v>
      </c>
      <c r="H1243" s="1977" t="s">
        <v>1561</v>
      </c>
      <c r="I1243" s="1156" t="s">
        <v>2657</v>
      </c>
      <c r="L1243" s="1942" t="str">
        <f>'Part VIII-Threshold Criteria'!L149</f>
        <v>No</v>
      </c>
      <c r="M1243" s="1942">
        <f>'Part VIII-Threshold Criteria'!M149</f>
        <v>0</v>
      </c>
      <c r="N1243" s="1977" t="s">
        <v>517</v>
      </c>
      <c r="O1243" s="478" t="s">
        <v>1564</v>
      </c>
      <c r="P1243" s="1942" t="str">
        <f>'Part VIII-Threshold Criteria'!P149</f>
        <v>No</v>
      </c>
      <c r="Q1243" s="1942">
        <f>'Part VIII-Threshold Criteria'!Q149</f>
        <v>0</v>
      </c>
    </row>
    <row r="1244" spans="1:17">
      <c r="A1244" s="478"/>
      <c r="B1244" s="1977" t="s">
        <v>1751</v>
      </c>
      <c r="C1244" s="478" t="s">
        <v>2821</v>
      </c>
      <c r="E1244" s="1901"/>
      <c r="F1244" s="1942" t="str">
        <f>'Part VIII-Threshold Criteria'!F150</f>
        <v>No</v>
      </c>
      <c r="G1244" s="1942">
        <f>'Part VIII-Threshold Criteria'!G150</f>
        <v>0</v>
      </c>
      <c r="H1244" s="1977" t="s">
        <v>1562</v>
      </c>
      <c r="I1244" s="1156" t="s">
        <v>2658</v>
      </c>
      <c r="L1244" s="1942" t="str">
        <f>'Part VIII-Threshold Criteria'!L150</f>
        <v>Yes</v>
      </c>
      <c r="M1244" s="1942">
        <f>'Part VIII-Threshold Criteria'!M150</f>
        <v>0</v>
      </c>
      <c r="N1244" s="1977" t="s">
        <v>518</v>
      </c>
      <c r="O1244" s="478" t="s">
        <v>1563</v>
      </c>
      <c r="P1244" s="1942" t="str">
        <f>'Part VIII-Threshold Criteria'!P150</f>
        <v>No</v>
      </c>
      <c r="Q1244" s="1942">
        <f>'Part VIII-Threshold Criteria'!Q150</f>
        <v>0</v>
      </c>
    </row>
    <row r="1245" spans="1:17">
      <c r="A1245" s="478"/>
      <c r="B1245" s="1977" t="s">
        <v>1752</v>
      </c>
      <c r="C1245" s="478" t="s">
        <v>2656</v>
      </c>
      <c r="E1245" s="1901"/>
      <c r="F1245" s="1942" t="str">
        <f>'Part VIII-Threshold Criteria'!F151</f>
        <v>No</v>
      </c>
      <c r="G1245" s="1942">
        <f>'Part VIII-Threshold Criteria'!G151</f>
        <v>0</v>
      </c>
      <c r="H1245" s="1977" t="s">
        <v>99</v>
      </c>
      <c r="I1245" s="1156" t="s">
        <v>3875</v>
      </c>
      <c r="L1245" s="1942" t="str">
        <f>'Part VIII-Threshold Criteria'!L151</f>
        <v>No</v>
      </c>
      <c r="M1245" s="1942">
        <f>'Part VIII-Threshold Criteria'!M151</f>
        <v>0</v>
      </c>
      <c r="N1245" s="1977" t="s">
        <v>2823</v>
      </c>
      <c r="O1245" s="478" t="s">
        <v>1565</v>
      </c>
      <c r="P1245" s="1942" t="str">
        <f>'Part VIII-Threshold Criteria'!P151</f>
        <v>No</v>
      </c>
      <c r="Q1245" s="1942">
        <f>'Part VIII-Threshold Criteria'!Q151</f>
        <v>0</v>
      </c>
    </row>
    <row r="1246" spans="1:17">
      <c r="A1246" s="478"/>
      <c r="B1246" s="1977" t="s">
        <v>2381</v>
      </c>
      <c r="C1246" s="478" t="s">
        <v>2824</v>
      </c>
      <c r="E1246" s="1901"/>
      <c r="F1246" s="1942" t="str">
        <f>'Part VIII-Threshold Criteria'!F152</f>
        <v>No</v>
      </c>
      <c r="G1246" s="1942">
        <f>'Part VIII-Threshold Criteria'!G152</f>
        <v>0</v>
      </c>
      <c r="H1246" s="1977" t="s">
        <v>516</v>
      </c>
      <c r="I1246" s="478" t="s">
        <v>2820</v>
      </c>
      <c r="L1246" s="1942" t="str">
        <f>'Part VIII-Threshold Criteria'!L152</f>
        <v>No</v>
      </c>
      <c r="M1246" s="1942">
        <f>'Part VIII-Threshold Criteria'!M152</f>
        <v>0</v>
      </c>
      <c r="O1246" s="1977"/>
    </row>
    <row r="1247" spans="1:17">
      <c r="A1247" s="478"/>
      <c r="B1247" s="1977" t="s">
        <v>2912</v>
      </c>
      <c r="C1247" s="478" t="s">
        <v>2822</v>
      </c>
      <c r="E1247" s="1901"/>
      <c r="F1247" s="1901"/>
      <c r="G1247" s="1901"/>
      <c r="H1247" s="1901"/>
      <c r="I1247" s="1901"/>
      <c r="J1247" s="1901"/>
      <c r="K1247" s="1901"/>
      <c r="L1247" s="1901"/>
      <c r="M1247" s="478"/>
      <c r="O1247" s="1977"/>
      <c r="P1247" s="1977"/>
    </row>
    <row r="1248" spans="1:17">
      <c r="A1248" s="478"/>
      <c r="C1248" s="1901" t="str">
        <f>'Part VIII-Threshold Criteria'!C154</f>
        <v>N/A</v>
      </c>
      <c r="D1248" s="1901">
        <f>'Part VIII-Threshold Criteria'!D154</f>
        <v>0</v>
      </c>
      <c r="E1248" s="1901">
        <f>'Part VIII-Threshold Criteria'!E154</f>
        <v>0</v>
      </c>
      <c r="F1248" s="1901">
        <f>'Part VIII-Threshold Criteria'!F154</f>
        <v>0</v>
      </c>
      <c r="G1248" s="1901">
        <f>'Part VIII-Threshold Criteria'!G154</f>
        <v>0</v>
      </c>
      <c r="H1248" s="1901">
        <f>'Part VIII-Threshold Criteria'!H154</f>
        <v>0</v>
      </c>
      <c r="I1248" s="1901">
        <f>'Part VIII-Threshold Criteria'!I154</f>
        <v>0</v>
      </c>
      <c r="J1248" s="1901">
        <f>'Part VIII-Threshold Criteria'!J154</f>
        <v>0</v>
      </c>
      <c r="K1248" s="1901">
        <f>'Part VIII-Threshold Criteria'!K154</f>
        <v>0</v>
      </c>
      <c r="L1248" s="1901">
        <f>'Part VIII-Threshold Criteria'!L154</f>
        <v>0</v>
      </c>
      <c r="M1248" s="1901">
        <f>'Part VIII-Threshold Criteria'!M154</f>
        <v>0</v>
      </c>
      <c r="N1248" s="1901">
        <f>'Part VIII-Threshold Criteria'!N154</f>
        <v>0</v>
      </c>
      <c r="O1248" s="1901">
        <f>'Part VIII-Threshold Criteria'!O154</f>
        <v>0</v>
      </c>
      <c r="P1248" s="1901">
        <f>'Part VIII-Threshold Criteria'!P154</f>
        <v>0</v>
      </c>
      <c r="Q1248" s="1901">
        <f>'Part VIII-Threshold Criteria'!Q154</f>
        <v>0</v>
      </c>
    </row>
    <row r="1249" spans="1:17">
      <c r="A1249" s="1975" t="s">
        <v>1749</v>
      </c>
      <c r="B1249" s="478" t="s">
        <v>3593</v>
      </c>
      <c r="D1249" s="1901"/>
      <c r="E1249" s="1901"/>
      <c r="F1249" s="1901"/>
      <c r="G1249" s="1901"/>
      <c r="H1249" s="1901"/>
      <c r="I1249" s="1629"/>
      <c r="J1249" s="1629"/>
      <c r="K1249" s="1901"/>
      <c r="L1249" s="1901"/>
      <c r="M1249" s="1866"/>
    </row>
    <row r="1250" spans="1:17">
      <c r="A1250" s="1629"/>
      <c r="B1250" s="1977" t="s">
        <v>1750</v>
      </c>
      <c r="C1250" s="478" t="s">
        <v>2825</v>
      </c>
      <c r="E1250" s="1901"/>
      <c r="F1250" s="1901"/>
      <c r="G1250" s="1901"/>
      <c r="H1250" s="1901"/>
      <c r="O1250" s="1977" t="s">
        <v>1750</v>
      </c>
      <c r="P1250" s="1942" t="str">
        <f>'Part VIII-Threshold Criteria'!P156</f>
        <v>No</v>
      </c>
      <c r="Q1250" s="1942">
        <f>'Part VIII-Threshold Criteria'!Q156</f>
        <v>0</v>
      </c>
    </row>
    <row r="1251" spans="1:17">
      <c r="A1251" s="1934"/>
      <c r="B1251" s="1977" t="s">
        <v>1751</v>
      </c>
      <c r="C1251" s="478" t="s">
        <v>495</v>
      </c>
      <c r="E1251" s="478"/>
      <c r="F1251" s="478"/>
      <c r="G1251" s="478"/>
      <c r="H1251" s="478"/>
      <c r="I1251" s="1629"/>
      <c r="J1251" s="1629"/>
      <c r="K1251" s="478"/>
      <c r="L1251" s="478"/>
      <c r="M1251" s="478"/>
      <c r="O1251" s="1977" t="s">
        <v>1751</v>
      </c>
      <c r="P1251" s="1942" t="str">
        <f>'Part VIII-Threshold Criteria'!P157</f>
        <v>Yes</v>
      </c>
      <c r="Q1251" s="1942">
        <f>'Part VIII-Threshold Criteria'!Q157</f>
        <v>0</v>
      </c>
    </row>
    <row r="1252" spans="1:17">
      <c r="A1252" s="1934"/>
      <c r="B1252" s="1977" t="s">
        <v>1752</v>
      </c>
      <c r="C1252" s="478" t="s">
        <v>687</v>
      </c>
      <c r="E1252" s="478"/>
      <c r="F1252" s="478"/>
      <c r="G1252" s="478"/>
      <c r="H1252" s="478"/>
      <c r="I1252" s="1629"/>
      <c r="J1252" s="1629"/>
      <c r="K1252" s="478"/>
      <c r="L1252" s="478"/>
      <c r="M1252" s="478"/>
      <c r="O1252" s="1977" t="s">
        <v>1752</v>
      </c>
      <c r="P1252" s="1942" t="str">
        <f>'Part VIII-Threshold Criteria'!P158</f>
        <v>Yes</v>
      </c>
      <c r="Q1252" s="1942">
        <f>'Part VIII-Threshold Criteria'!Q158</f>
        <v>0</v>
      </c>
    </row>
    <row r="1253" spans="1:17">
      <c r="A1253" s="1975" t="s">
        <v>1962</v>
      </c>
      <c r="B1253" s="478" t="s">
        <v>1766</v>
      </c>
      <c r="D1253" s="1901"/>
      <c r="E1253" s="1901"/>
      <c r="F1253" s="1901"/>
      <c r="G1253" s="1901"/>
      <c r="H1253" s="1901"/>
      <c r="I1253" s="1629"/>
      <c r="J1253" s="1629"/>
      <c r="K1253" s="1901"/>
      <c r="L1253" s="1901"/>
      <c r="M1253" s="1866"/>
      <c r="O1253" s="1977" t="s">
        <v>1962</v>
      </c>
      <c r="P1253" s="1942" t="str">
        <f>'Part VIII-Threshold Criteria'!P159</f>
        <v>N/A</v>
      </c>
      <c r="Q1253" s="1942">
        <f>'Part VIII-Threshold Criteria'!Q159</f>
        <v>0</v>
      </c>
    </row>
    <row r="1254" spans="1:17">
      <c r="A1254" s="1993" t="s">
        <v>3485</v>
      </c>
      <c r="C1254" s="478"/>
      <c r="D1254" s="1901"/>
      <c r="E1254" s="1901"/>
      <c r="F1254" s="1901"/>
      <c r="G1254" s="1901"/>
      <c r="H1254" s="1901"/>
      <c r="I1254" s="1629"/>
      <c r="J1254" s="1629"/>
      <c r="K1254" s="1901"/>
      <c r="L1254" s="1901"/>
      <c r="M1254" s="1866"/>
      <c r="N1254" s="1866"/>
      <c r="O1254" s="1866"/>
      <c r="P1254" s="1866"/>
      <c r="Q1254" s="1866"/>
    </row>
    <row r="1255" spans="1:17" ht="12.75" customHeight="1">
      <c r="A1255" s="1973" t="s">
        <v>3391</v>
      </c>
      <c r="B1255" s="1936" t="s">
        <v>4790</v>
      </c>
      <c r="C1255" s="1936"/>
      <c r="D1255" s="1936"/>
      <c r="E1255" s="1936"/>
      <c r="F1255" s="1936"/>
      <c r="G1255" s="1936"/>
      <c r="H1255" s="1936"/>
      <c r="I1255" s="1936"/>
      <c r="J1255" s="1936"/>
      <c r="K1255" s="1936"/>
      <c r="L1255" s="1936"/>
      <c r="M1255" s="1987" t="s">
        <v>3391</v>
      </c>
      <c r="N1255" s="1932" t="str">
        <f>'Part VIII-Threshold Criteria'!N161</f>
        <v>Minority concentration</v>
      </c>
      <c r="O1255" s="1932">
        <f>'Part VIII-Threshold Criteria'!O161</f>
        <v>0</v>
      </c>
      <c r="P1255" s="1932" t="str">
        <f>'Part VIII-Threshold Criteria'!P161</f>
        <v>&lt;&lt;Select&gt;&gt;</v>
      </c>
      <c r="Q1255" s="1932">
        <f>'Part VIII-Threshold Criteria'!Q161</f>
        <v>0</v>
      </c>
    </row>
    <row r="1256" spans="1:17">
      <c r="A1256" s="1975" t="s">
        <v>622</v>
      </c>
      <c r="B1256" s="1872" t="s">
        <v>1</v>
      </c>
      <c r="C1256" s="1629"/>
      <c r="D1256" s="1994"/>
      <c r="E1256" s="1994"/>
      <c r="F1256" s="1629"/>
      <c r="G1256" s="1977" t="s">
        <v>622</v>
      </c>
      <c r="H1256" s="1901">
        <f>'Part VIII-Threshold Criteria'!H162</f>
        <v>106114115127104</v>
      </c>
      <c r="I1256" s="1901">
        <f>'Part VIII-Threshold Criteria'!I162</f>
        <v>0</v>
      </c>
      <c r="J1256" s="1901">
        <f>'Part VIII-Threshold Criteria'!J162</f>
        <v>0</v>
      </c>
      <c r="K1256" s="1901">
        <f>'Part VIII-Threshold Criteria'!K162</f>
        <v>0</v>
      </c>
      <c r="L1256" s="1901">
        <f>'Part VIII-Threshold Criteria'!L162</f>
        <v>0</v>
      </c>
      <c r="M1256" s="1901">
        <f>'Part VIII-Threshold Criteria'!M162</f>
        <v>0</v>
      </c>
      <c r="N1256" s="1901">
        <f>'Part VIII-Threshold Criteria'!N162</f>
        <v>0</v>
      </c>
      <c r="O1256" s="1901">
        <f>'Part VIII-Threshold Criteria'!O162</f>
        <v>0</v>
      </c>
      <c r="P1256" s="1901">
        <f>'Part VIII-Threshold Criteria'!P162</f>
        <v>0</v>
      </c>
      <c r="Q1256" s="1942">
        <f>'Part VIII-Threshold Criteria'!Q162</f>
        <v>0</v>
      </c>
    </row>
    <row r="1257" spans="1:17">
      <c r="A1257" s="1975" t="s">
        <v>3392</v>
      </c>
      <c r="B1257" s="1872" t="s">
        <v>1427</v>
      </c>
      <c r="C1257" s="1629"/>
      <c r="D1257" s="1990"/>
      <c r="E1257" s="1990"/>
      <c r="F1257" s="1990"/>
      <c r="G1257" s="1828"/>
      <c r="H1257" s="1828"/>
      <c r="I1257" s="1872"/>
      <c r="J1257" s="1629"/>
      <c r="K1257" s="1828"/>
      <c r="L1257" s="1828"/>
      <c r="M1257" s="1828"/>
      <c r="N1257" s="1629"/>
      <c r="O1257" s="1977" t="s">
        <v>3392</v>
      </c>
      <c r="P1257" s="1942" t="str">
        <f>'Part VIII-Threshold Criteria'!P163</f>
        <v>No</v>
      </c>
      <c r="Q1257" s="1942">
        <f>'Part VIII-Threshold Criteria'!Q163</f>
        <v>0</v>
      </c>
    </row>
    <row r="1258" spans="1:17">
      <c r="B1258" s="1873" t="s">
        <v>3779</v>
      </c>
      <c r="D1258" s="1873"/>
      <c r="E1258" s="1873"/>
      <c r="F1258" s="1873"/>
      <c r="G1258" s="1873"/>
      <c r="H1258" s="1872"/>
      <c r="I1258" s="1934"/>
      <c r="J1258" s="1934"/>
      <c r="K1258" s="1934"/>
      <c r="L1258" s="1836"/>
      <c r="M1258" s="1836"/>
      <c r="N1258" s="1836"/>
      <c r="O1258" s="1836"/>
      <c r="P1258" s="1836"/>
      <c r="Q1258" s="1836"/>
    </row>
    <row r="1259" spans="1:17" ht="409.5">
      <c r="A1259" s="1936" t="str">
        <f>'Part VIII-Threshold Criteria'!A165</f>
        <v xml:space="preserve">Tindall Fields III meets Threshold approval for Item E-6 because MHA has both SHPO and HUD approval to proceed with the redevelopment of Tindall Heights; we have also received SHPO’s specific approval of the site plan and building elevations for Tindall Fields III; please see Tab 7-03 toward the end of the HOME/HUD Questionnaire for SHPO’s 2018 approval. For Item E-8, the asbestos abatement is now completed. Please see Tab 44 for documentation showing that MHA has paid for all abatement activity; this work was successfully managed by MHA with GEC as it’s third-party monitoring agent.  
A copy of the HOME/HUD Environmental Questionnaire is included at Tab 07-03 because of MHA’s allocation of Project Based Vouchers to the development. There are no HOME funds allocated to Tindall Fields III.
A copy of the HOME Site and Neighborhood Standards is included at Tab 07-07 because of MHA’s allocation of Project Based Vouchers to the development. There are no HOME funds allocated to Tindall Fields III.
</v>
      </c>
      <c r="B1259" s="1936">
        <f>'Part VIII-Threshold Criteria'!B165</f>
        <v>0</v>
      </c>
      <c r="C1259" s="1936">
        <f>'Part VIII-Threshold Criteria'!C165</f>
        <v>0</v>
      </c>
      <c r="D1259" s="1936">
        <f>'Part VIII-Threshold Criteria'!D165</f>
        <v>0</v>
      </c>
      <c r="E1259" s="1936">
        <f>'Part VIII-Threshold Criteria'!E165</f>
        <v>0</v>
      </c>
      <c r="F1259" s="1936">
        <f>'Part VIII-Threshold Criteria'!F165</f>
        <v>0</v>
      </c>
      <c r="G1259" s="1936">
        <f>'Part VIII-Threshold Criteria'!G165</f>
        <v>0</v>
      </c>
      <c r="H1259" s="1936">
        <f>'Part VIII-Threshold Criteria'!H165</f>
        <v>0</v>
      </c>
      <c r="I1259" s="1936">
        <f>'Part VIII-Threshold Criteria'!I165</f>
        <v>0</v>
      </c>
      <c r="J1259" s="1936">
        <f>'Part VIII-Threshold Criteria'!J165</f>
        <v>0</v>
      </c>
      <c r="K1259" s="1936">
        <f>'Part VIII-Threshold Criteria'!K165</f>
        <v>0</v>
      </c>
      <c r="L1259" s="1936">
        <f>'Part VIII-Threshold Criteria'!L165</f>
        <v>0</v>
      </c>
      <c r="M1259" s="1936">
        <f>'Part VIII-Threshold Criteria'!M165</f>
        <v>0</v>
      </c>
      <c r="N1259" s="1936">
        <f>'Part VIII-Threshold Criteria'!N165</f>
        <v>0</v>
      </c>
      <c r="O1259" s="1936">
        <f>'Part VIII-Threshold Criteria'!O165</f>
        <v>0</v>
      </c>
      <c r="P1259" s="1936">
        <f>'Part VIII-Threshold Criteria'!P165</f>
        <v>0</v>
      </c>
      <c r="Q1259" s="1936">
        <f>'Part VIII-Threshold Criteria'!Q165</f>
        <v>0</v>
      </c>
    </row>
    <row r="1261" spans="1:17">
      <c r="B1261" s="1937" t="s">
        <v>1880</v>
      </c>
      <c r="C1261" s="1938"/>
      <c r="D1261" s="1939"/>
      <c r="E1261" s="1939"/>
      <c r="F1261" s="1939"/>
      <c r="G1261" s="1939"/>
      <c r="H1261" s="1939"/>
      <c r="I1261" s="1939"/>
      <c r="J1261" s="1939"/>
      <c r="K1261" s="1939"/>
      <c r="L1261" s="1939"/>
      <c r="M1261" s="1939"/>
      <c r="N1261" s="1939"/>
      <c r="O1261" s="1939"/>
      <c r="P1261" s="1939"/>
      <c r="Q1261" s="1939"/>
    </row>
    <row r="1262" spans="1:17">
      <c r="A1262" s="1936">
        <f>'Part VIII-Threshold Criteria'!A168</f>
        <v>0</v>
      </c>
      <c r="B1262" s="1936">
        <f>'Part VIII-Threshold Criteria'!B168</f>
        <v>0</v>
      </c>
      <c r="C1262" s="1936">
        <f>'Part VIII-Threshold Criteria'!C168</f>
        <v>0</v>
      </c>
      <c r="D1262" s="1936">
        <f>'Part VIII-Threshold Criteria'!D168</f>
        <v>0</v>
      </c>
      <c r="E1262" s="1936">
        <f>'Part VIII-Threshold Criteria'!E168</f>
        <v>0</v>
      </c>
      <c r="F1262" s="1936">
        <f>'Part VIII-Threshold Criteria'!F168</f>
        <v>0</v>
      </c>
      <c r="G1262" s="1936">
        <f>'Part VIII-Threshold Criteria'!G168</f>
        <v>0</v>
      </c>
      <c r="H1262" s="1936">
        <f>'Part VIII-Threshold Criteria'!H168</f>
        <v>0</v>
      </c>
      <c r="I1262" s="1936">
        <f>'Part VIII-Threshold Criteria'!I168</f>
        <v>0</v>
      </c>
      <c r="J1262" s="1936">
        <f>'Part VIII-Threshold Criteria'!J168</f>
        <v>0</v>
      </c>
      <c r="K1262" s="1936">
        <f>'Part VIII-Threshold Criteria'!K168</f>
        <v>0</v>
      </c>
      <c r="L1262" s="1936">
        <f>'Part VIII-Threshold Criteria'!L168</f>
        <v>0</v>
      </c>
      <c r="M1262" s="1936">
        <f>'Part VIII-Threshold Criteria'!M168</f>
        <v>0</v>
      </c>
      <c r="N1262" s="1936">
        <f>'Part VIII-Threshold Criteria'!N168</f>
        <v>0</v>
      </c>
      <c r="O1262" s="1936">
        <f>'Part VIII-Threshold Criteria'!O168</f>
        <v>0</v>
      </c>
      <c r="P1262" s="1936">
        <f>'Part VIII-Threshold Criteria'!P168</f>
        <v>0</v>
      </c>
      <c r="Q1262" s="1936">
        <f>'Part VIII-Threshold Criteria'!Q168</f>
        <v>0</v>
      </c>
    </row>
    <row r="1263" spans="1:17">
      <c r="A1263" s="1836"/>
      <c r="B1263" s="1934"/>
      <c r="C1263" s="1939"/>
      <c r="D1263" s="1939"/>
      <c r="E1263" s="1939"/>
      <c r="F1263" s="1939"/>
      <c r="G1263" s="1939"/>
      <c r="H1263" s="1939"/>
      <c r="I1263" s="1939"/>
      <c r="J1263" s="1939"/>
      <c r="K1263" s="1939"/>
      <c r="L1263" s="1939"/>
      <c r="M1263" s="1939"/>
      <c r="N1263" s="1939"/>
      <c r="O1263" s="1939"/>
      <c r="P1263" s="1939"/>
      <c r="Q1263" s="1836"/>
    </row>
    <row r="1264" spans="1:17">
      <c r="A1264" s="1819" t="s">
        <v>294</v>
      </c>
      <c r="B1264" s="1819" t="s">
        <v>2673</v>
      </c>
      <c r="C1264" s="1819"/>
      <c r="D1264" s="1939"/>
      <c r="E1264" s="1939"/>
      <c r="F1264" s="1939"/>
      <c r="G1264" s="1939"/>
      <c r="H1264" s="1939"/>
      <c r="I1264" s="1939"/>
      <c r="J1264" s="1939"/>
      <c r="K1264" s="1939"/>
      <c r="O1264" s="1935" t="s">
        <v>1881</v>
      </c>
      <c r="P1264" s="1844">
        <f>'Part VIII-Threshold Criteria'!P170</f>
        <v>0</v>
      </c>
      <c r="Q1264" s="1844">
        <f>'Part VIII-Threshold Criteria'!Q170</f>
        <v>0</v>
      </c>
    </row>
    <row r="1265" spans="1:17">
      <c r="A1265" s="1975" t="s">
        <v>1999</v>
      </c>
      <c r="B1265" s="478" t="s">
        <v>4548</v>
      </c>
      <c r="D1265" s="478"/>
      <c r="E1265" s="478"/>
      <c r="F1265" s="478"/>
      <c r="G1265" s="478"/>
      <c r="I1265" s="478" t="s">
        <v>2725</v>
      </c>
      <c r="K1265" s="1995">
        <f>'Part VIII-Threshold Criteria'!K171</f>
        <v>44075</v>
      </c>
      <c r="L1265" s="1995">
        <f>'Part VIII-Threshold Criteria'!L171</f>
        <v>0</v>
      </c>
      <c r="N1265" s="478"/>
      <c r="O1265" s="1977" t="s">
        <v>1999</v>
      </c>
      <c r="P1265" s="1942" t="str">
        <f>'Part VIII-Threshold Criteria'!P171</f>
        <v>Yes</v>
      </c>
      <c r="Q1265" s="1942">
        <f>'Part VIII-Threshold Criteria'!Q171</f>
        <v>0</v>
      </c>
    </row>
    <row r="1266" spans="1:17">
      <c r="A1266" s="1975" t="s">
        <v>2001</v>
      </c>
      <c r="B1266" s="1961" t="s">
        <v>151</v>
      </c>
      <c r="D1266" s="1961"/>
      <c r="E1266" s="1961"/>
      <c r="F1266" s="1961"/>
      <c r="G1266" s="1961"/>
      <c r="H1266" s="1961"/>
      <c r="M1266" s="1977" t="s">
        <v>2001</v>
      </c>
      <c r="N1266" s="1894" t="str">
        <f>'Part VIII-Threshold Criteria'!N172</f>
        <v>Ground lease/Option</v>
      </c>
      <c r="O1266" s="1894">
        <f>'Part VIII-Threshold Criteria'!O172</f>
        <v>0</v>
      </c>
      <c r="P1266" s="1894" t="str">
        <f>'Part VIII-Threshold Criteria'!P172</f>
        <v>&lt;&lt;Select&gt;&gt;</v>
      </c>
      <c r="Q1266" s="1894">
        <f>'Part VIII-Threshold Criteria'!Q172</f>
        <v>0</v>
      </c>
    </row>
    <row r="1267" spans="1:17">
      <c r="A1267" s="1975" t="s">
        <v>757</v>
      </c>
      <c r="B1267" s="1961" t="s">
        <v>688</v>
      </c>
      <c r="D1267" s="1961"/>
      <c r="E1267" s="1961"/>
      <c r="F1267" s="1961"/>
      <c r="G1267" s="1961"/>
      <c r="H1267" s="1961"/>
      <c r="J1267" s="1977" t="s">
        <v>757</v>
      </c>
      <c r="K1267" s="1933" t="str">
        <f>'Part VIII-Threshold Criteria'!K173</f>
        <v>In-Fill Housing II, Inc./Partnership</v>
      </c>
      <c r="L1267" s="1933">
        <f>'Part VIII-Threshold Criteria'!L173</f>
        <v>0</v>
      </c>
      <c r="M1267" s="1933">
        <f>'Part VIII-Threshold Criteria'!M173</f>
        <v>0</v>
      </c>
      <c r="N1267" s="1933">
        <f>'Part VIII-Threshold Criteria'!N173</f>
        <v>0</v>
      </c>
      <c r="O1267" s="1933">
        <f>'Part VIII-Threshold Criteria'!O173</f>
        <v>0</v>
      </c>
      <c r="P1267" s="1933">
        <f>'Part VIII-Threshold Criteria'!P173</f>
        <v>0</v>
      </c>
      <c r="Q1267" s="1942">
        <f>'Part VIII-Threshold Criteria'!Q173</f>
        <v>0</v>
      </c>
    </row>
    <row r="1268" spans="1:17">
      <c r="A1268" s="1975" t="s">
        <v>2131</v>
      </c>
      <c r="B1268" s="1961" t="s">
        <v>2900</v>
      </c>
      <c r="D1268" s="1961"/>
      <c r="E1268" s="1961"/>
      <c r="F1268" s="1961"/>
      <c r="G1268" s="1961"/>
      <c r="H1268" s="1961"/>
      <c r="J1268" s="1977"/>
      <c r="K1268" s="1977"/>
      <c r="L1268" s="1977"/>
      <c r="M1268" s="1977"/>
      <c r="N1268" s="1977"/>
      <c r="O1268" s="1977" t="s">
        <v>2131</v>
      </c>
      <c r="P1268" s="1942" t="str">
        <f>'Part VIII-Threshold Criteria'!P174</f>
        <v>Yes</v>
      </c>
      <c r="Q1268" s="1942">
        <f>'Part VIII-Threshold Criteria'!Q174</f>
        <v>0</v>
      </c>
    </row>
    <row r="1269" spans="1:17">
      <c r="B1269" s="1873" t="s">
        <v>3779</v>
      </c>
      <c r="D1269" s="1873"/>
      <c r="E1269" s="1873"/>
      <c r="F1269" s="1873"/>
      <c r="G1269" s="1873"/>
      <c r="H1269" s="1872"/>
      <c r="I1269" s="1934"/>
      <c r="J1269" s="1934"/>
      <c r="K1269" s="1934"/>
      <c r="L1269" s="1836"/>
      <c r="M1269" s="1836"/>
      <c r="N1269" s="1836"/>
      <c r="O1269" s="1836"/>
      <c r="P1269" s="1836"/>
      <c r="Q1269" s="1836"/>
    </row>
    <row r="1270" spans="1:17" ht="409.5">
      <c r="A1270" s="1936" t="str">
        <f>'Part VIII-Threshold Criteria'!A176</f>
        <v xml:space="preserve">Tindall Fields III meets Threshold approval because the applicant, Tindall Partners IV, LP has site control for Tindall Fields III past November 30, 2018 through an Assignment of an Option to Lease between In-Fill Housing II, Inc. and MHA. Please see Tab 8-01 for all related documents.
8-D:  The owner/ground lessor, MHA, is related to and affiliated with but does not control In-Fill Housing II, (In-Fill) the lessee.  In-Fill has in turn assigned the Option to Lease to the Partnership, which it controls.  The ground lease will be for a minimum of 55 years, exceeding the DCA 45 year minimum requirement.
</v>
      </c>
      <c r="B1270" s="1936">
        <f>'Part VIII-Threshold Criteria'!B176</f>
        <v>0</v>
      </c>
      <c r="C1270" s="1936">
        <f>'Part VIII-Threshold Criteria'!C176</f>
        <v>0</v>
      </c>
      <c r="D1270" s="1936">
        <f>'Part VIII-Threshold Criteria'!D176</f>
        <v>0</v>
      </c>
      <c r="E1270" s="1936">
        <f>'Part VIII-Threshold Criteria'!E176</f>
        <v>0</v>
      </c>
      <c r="F1270" s="1936">
        <f>'Part VIII-Threshold Criteria'!F176</f>
        <v>0</v>
      </c>
      <c r="G1270" s="1936">
        <f>'Part VIII-Threshold Criteria'!G176</f>
        <v>0</v>
      </c>
      <c r="H1270" s="1936">
        <f>'Part VIII-Threshold Criteria'!H176</f>
        <v>0</v>
      </c>
      <c r="I1270" s="1936">
        <f>'Part VIII-Threshold Criteria'!I176</f>
        <v>0</v>
      </c>
      <c r="J1270" s="1936">
        <f>'Part VIII-Threshold Criteria'!J176</f>
        <v>0</v>
      </c>
      <c r="K1270" s="1936">
        <f>'Part VIII-Threshold Criteria'!K176</f>
        <v>0</v>
      </c>
      <c r="L1270" s="1936">
        <f>'Part VIII-Threshold Criteria'!L176</f>
        <v>0</v>
      </c>
      <c r="M1270" s="1936">
        <f>'Part VIII-Threshold Criteria'!M176</f>
        <v>0</v>
      </c>
      <c r="N1270" s="1936">
        <f>'Part VIII-Threshold Criteria'!N176</f>
        <v>0</v>
      </c>
      <c r="O1270" s="1936">
        <f>'Part VIII-Threshold Criteria'!O176</f>
        <v>0</v>
      </c>
      <c r="P1270" s="1936">
        <f>'Part VIII-Threshold Criteria'!P176</f>
        <v>0</v>
      </c>
      <c r="Q1270" s="1936">
        <f>'Part VIII-Threshold Criteria'!Q176</f>
        <v>0</v>
      </c>
    </row>
    <row r="1271" spans="1:17">
      <c r="B1271" s="1937" t="s">
        <v>1880</v>
      </c>
      <c r="C1271" s="1938"/>
      <c r="D1271" s="1939"/>
      <c r="E1271" s="1939"/>
      <c r="F1271" s="1939"/>
      <c r="G1271" s="1939"/>
      <c r="H1271" s="1939"/>
      <c r="I1271" s="1939"/>
      <c r="J1271" s="1939"/>
      <c r="K1271" s="1939"/>
      <c r="L1271" s="1939"/>
      <c r="M1271" s="1939"/>
      <c r="N1271" s="1939"/>
      <c r="O1271" s="1939"/>
      <c r="P1271" s="1939"/>
      <c r="Q1271" s="1939"/>
    </row>
    <row r="1272" spans="1:17">
      <c r="A1272" s="1936">
        <f>'Part VIII-Threshold Criteria'!A178</f>
        <v>0</v>
      </c>
      <c r="B1272" s="1936">
        <f>'Part VIII-Threshold Criteria'!B178</f>
        <v>0</v>
      </c>
      <c r="C1272" s="1936">
        <f>'Part VIII-Threshold Criteria'!C178</f>
        <v>0</v>
      </c>
      <c r="D1272" s="1936">
        <f>'Part VIII-Threshold Criteria'!D178</f>
        <v>0</v>
      </c>
      <c r="E1272" s="1936">
        <f>'Part VIII-Threshold Criteria'!E178</f>
        <v>0</v>
      </c>
      <c r="F1272" s="1936">
        <f>'Part VIII-Threshold Criteria'!F178</f>
        <v>0</v>
      </c>
      <c r="G1272" s="1936">
        <f>'Part VIII-Threshold Criteria'!G178</f>
        <v>0</v>
      </c>
      <c r="H1272" s="1936">
        <f>'Part VIII-Threshold Criteria'!H178</f>
        <v>0</v>
      </c>
      <c r="I1272" s="1936">
        <f>'Part VIII-Threshold Criteria'!I178</f>
        <v>0</v>
      </c>
      <c r="J1272" s="1936">
        <f>'Part VIII-Threshold Criteria'!J178</f>
        <v>0</v>
      </c>
      <c r="K1272" s="1936">
        <f>'Part VIII-Threshold Criteria'!K178</f>
        <v>0</v>
      </c>
      <c r="L1272" s="1936">
        <f>'Part VIII-Threshold Criteria'!L178</f>
        <v>0</v>
      </c>
      <c r="M1272" s="1936">
        <f>'Part VIII-Threshold Criteria'!M178</f>
        <v>0</v>
      </c>
      <c r="N1272" s="1936">
        <f>'Part VIII-Threshold Criteria'!N178</f>
        <v>0</v>
      </c>
      <c r="O1272" s="1936">
        <f>'Part VIII-Threshold Criteria'!O178</f>
        <v>0</v>
      </c>
      <c r="P1272" s="1936">
        <f>'Part VIII-Threshold Criteria'!P178</f>
        <v>0</v>
      </c>
      <c r="Q1272" s="1936">
        <f>'Part VIII-Threshold Criteria'!Q178</f>
        <v>0</v>
      </c>
    </row>
    <row r="1273" spans="1:17">
      <c r="A1273" s="1836"/>
      <c r="B1273" s="1934"/>
      <c r="C1273" s="1939"/>
      <c r="D1273" s="1939"/>
      <c r="E1273" s="1939"/>
      <c r="F1273" s="1939"/>
      <c r="G1273" s="1939"/>
      <c r="H1273" s="1939"/>
      <c r="I1273" s="1939"/>
      <c r="J1273" s="1939"/>
      <c r="K1273" s="1939"/>
      <c r="L1273" s="1939"/>
      <c r="M1273" s="1939"/>
      <c r="Q1273" s="1836"/>
    </row>
    <row r="1274" spans="1:17">
      <c r="A1274" s="1819" t="s">
        <v>428</v>
      </c>
      <c r="B1274" s="1819" t="s">
        <v>2674</v>
      </c>
      <c r="C1274" s="1819"/>
      <c r="D1274" s="1939"/>
      <c r="E1274" s="1939"/>
      <c r="F1274" s="1939"/>
      <c r="G1274" s="1939"/>
      <c r="H1274" s="1939"/>
      <c r="I1274" s="1939"/>
      <c r="J1274" s="1939"/>
      <c r="K1274" s="1939"/>
      <c r="L1274" s="1939"/>
      <c r="M1274" s="1939"/>
      <c r="O1274" s="1935" t="s">
        <v>1881</v>
      </c>
      <c r="P1274" s="1844">
        <f>'Part VIII-Threshold Criteria'!P180</f>
        <v>0</v>
      </c>
      <c r="Q1274" s="1844">
        <f>'Part VIII-Threshold Criteria'!Q180</f>
        <v>0</v>
      </c>
    </row>
    <row r="1275" spans="1:17" ht="12.75" customHeight="1">
      <c r="A1275" s="1973" t="s">
        <v>1999</v>
      </c>
      <c r="B1275" s="1936" t="s">
        <v>3770</v>
      </c>
      <c r="C1275" s="1936"/>
      <c r="D1275" s="1936"/>
      <c r="E1275" s="1936"/>
      <c r="F1275" s="1936"/>
      <c r="G1275" s="1936"/>
      <c r="H1275" s="1936"/>
      <c r="I1275" s="1936"/>
      <c r="J1275" s="1936"/>
      <c r="K1275" s="1936"/>
      <c r="L1275" s="1936"/>
      <c r="M1275" s="1936"/>
      <c r="N1275" s="1936"/>
      <c r="O1275" s="1987" t="s">
        <v>1999</v>
      </c>
      <c r="P1275" s="1988" t="str">
        <f>'Part VIII-Threshold Criteria'!P181</f>
        <v>Yes</v>
      </c>
      <c r="Q1275" s="1988">
        <f>'Part VIII-Threshold Criteria'!Q181</f>
        <v>0</v>
      </c>
    </row>
    <row r="1276" spans="1:17" ht="12.75" customHeight="1">
      <c r="A1276" s="1973" t="s">
        <v>2001</v>
      </c>
      <c r="B1276" s="1936" t="s">
        <v>3664</v>
      </c>
      <c r="C1276" s="1936"/>
      <c r="D1276" s="1936"/>
      <c r="E1276" s="1936"/>
      <c r="F1276" s="1936"/>
      <c r="G1276" s="1936"/>
      <c r="H1276" s="1936"/>
      <c r="I1276" s="1936"/>
      <c r="J1276" s="1936"/>
      <c r="K1276" s="1936"/>
      <c r="L1276" s="1936"/>
      <c r="M1276" s="1936"/>
      <c r="N1276" s="1936"/>
      <c r="O1276" s="1987" t="s">
        <v>2001</v>
      </c>
      <c r="P1276" s="1988" t="str">
        <f>'Part VIII-Threshold Criteria'!P182</f>
        <v>N/Ap</v>
      </c>
      <c r="Q1276" s="1988">
        <f>'Part VIII-Threshold Criteria'!Q182</f>
        <v>0</v>
      </c>
    </row>
    <row r="1277" spans="1:17" ht="12.75" customHeight="1">
      <c r="A1277" s="1973" t="s">
        <v>757</v>
      </c>
      <c r="B1277" s="1936" t="s">
        <v>3771</v>
      </c>
      <c r="C1277" s="1936"/>
      <c r="D1277" s="1936"/>
      <c r="E1277" s="1936"/>
      <c r="F1277" s="1936"/>
      <c r="G1277" s="1936"/>
      <c r="H1277" s="1936"/>
      <c r="I1277" s="1936"/>
      <c r="J1277" s="1936"/>
      <c r="K1277" s="1936"/>
      <c r="L1277" s="1936"/>
      <c r="M1277" s="1936"/>
      <c r="N1277" s="1936"/>
      <c r="O1277" s="1987" t="s">
        <v>757</v>
      </c>
      <c r="P1277" s="1988" t="str">
        <f>'Part VIII-Threshold Criteria'!P183</f>
        <v>N/Ap</v>
      </c>
      <c r="Q1277" s="1988">
        <f>'Part VIII-Threshold Criteria'!Q183</f>
        <v>0</v>
      </c>
    </row>
    <row r="1278" spans="1:17" ht="12.75" customHeight="1">
      <c r="A1278" s="1973" t="s">
        <v>2131</v>
      </c>
      <c r="B1278" s="1936" t="s">
        <v>2659</v>
      </c>
      <c r="C1278" s="1936"/>
      <c r="D1278" s="1936"/>
      <c r="E1278" s="1936"/>
      <c r="F1278" s="1936"/>
      <c r="G1278" s="1936"/>
      <c r="H1278" s="1936"/>
      <c r="I1278" s="1936"/>
      <c r="J1278" s="1936"/>
      <c r="K1278" s="1936"/>
      <c r="L1278" s="1936"/>
      <c r="M1278" s="1936"/>
      <c r="N1278" s="1936"/>
      <c r="O1278" s="1987" t="s">
        <v>2131</v>
      </c>
      <c r="P1278" s="1988" t="str">
        <f>'Part VIII-Threshold Criteria'!P184</f>
        <v>N/Ap</v>
      </c>
      <c r="Q1278" s="1988">
        <f>'Part VIII-Threshold Criteria'!Q184</f>
        <v>0</v>
      </c>
    </row>
    <row r="1279" spans="1:17">
      <c r="B1279" s="1873" t="s">
        <v>3779</v>
      </c>
      <c r="D1279" s="1873"/>
      <c r="E1279" s="1873"/>
      <c r="F1279" s="1873"/>
      <c r="G1279" s="1873"/>
      <c r="H1279" s="1872"/>
      <c r="I1279" s="1934"/>
      <c r="J1279" s="1934"/>
      <c r="K1279" s="1934"/>
      <c r="L1279" s="1836"/>
      <c r="M1279" s="1836"/>
      <c r="N1279" s="1836"/>
      <c r="O1279" s="1836"/>
      <c r="P1279" s="1836"/>
      <c r="Q1279" s="1836"/>
    </row>
    <row r="1280" spans="1:17" ht="281.25">
      <c r="A1280" s="1936" t="str">
        <f>'Part VIII-Threshold Criteria'!A186</f>
        <v xml:space="preserve">Tindall Fields III meets Threshold approval because the site entrance for Tindall Fields III will be from Nussbaum Avenue, an existing and legally accessible paved street.  The documentation for this is our architect’s Conceptual Site Plan at Tab 9-01. </v>
      </c>
      <c r="B1280" s="1936">
        <f>'Part VIII-Threshold Criteria'!B186</f>
        <v>0</v>
      </c>
      <c r="C1280" s="1936">
        <f>'Part VIII-Threshold Criteria'!C186</f>
        <v>0</v>
      </c>
      <c r="D1280" s="1936">
        <f>'Part VIII-Threshold Criteria'!D186</f>
        <v>0</v>
      </c>
      <c r="E1280" s="1936">
        <f>'Part VIII-Threshold Criteria'!E186</f>
        <v>0</v>
      </c>
      <c r="F1280" s="1936">
        <f>'Part VIII-Threshold Criteria'!F186</f>
        <v>0</v>
      </c>
      <c r="G1280" s="1936">
        <f>'Part VIII-Threshold Criteria'!G186</f>
        <v>0</v>
      </c>
      <c r="H1280" s="1936">
        <f>'Part VIII-Threshold Criteria'!H186</f>
        <v>0</v>
      </c>
      <c r="I1280" s="1936">
        <f>'Part VIII-Threshold Criteria'!I186</f>
        <v>0</v>
      </c>
      <c r="J1280" s="1936">
        <f>'Part VIII-Threshold Criteria'!J186</f>
        <v>0</v>
      </c>
      <c r="K1280" s="1936">
        <f>'Part VIII-Threshold Criteria'!K186</f>
        <v>0</v>
      </c>
      <c r="L1280" s="1936">
        <f>'Part VIII-Threshold Criteria'!L186</f>
        <v>0</v>
      </c>
      <c r="M1280" s="1936">
        <f>'Part VIII-Threshold Criteria'!M186</f>
        <v>0</v>
      </c>
      <c r="N1280" s="1936">
        <f>'Part VIII-Threshold Criteria'!N186</f>
        <v>0</v>
      </c>
      <c r="O1280" s="1936">
        <f>'Part VIII-Threshold Criteria'!O186</f>
        <v>0</v>
      </c>
      <c r="P1280" s="1936">
        <f>'Part VIII-Threshold Criteria'!P186</f>
        <v>0</v>
      </c>
      <c r="Q1280" s="1936">
        <f>'Part VIII-Threshold Criteria'!Q186</f>
        <v>0</v>
      </c>
    </row>
    <row r="1281" spans="1:17">
      <c r="B1281" s="1937" t="s">
        <v>1880</v>
      </c>
      <c r="C1281" s="1938"/>
      <c r="D1281" s="1939"/>
      <c r="E1281" s="1939"/>
      <c r="F1281" s="1939"/>
      <c r="G1281" s="1939"/>
      <c r="H1281" s="1939"/>
      <c r="I1281" s="1939"/>
      <c r="J1281" s="1939"/>
      <c r="K1281" s="1939"/>
      <c r="L1281" s="1939"/>
      <c r="M1281" s="1939"/>
      <c r="N1281" s="1939"/>
      <c r="O1281" s="1939"/>
      <c r="P1281" s="1939"/>
      <c r="Q1281" s="1939"/>
    </row>
    <row r="1282" spans="1:17">
      <c r="A1282" s="1936">
        <f>'Part VIII-Threshold Criteria'!A188</f>
        <v>0</v>
      </c>
      <c r="B1282" s="1936">
        <f>'Part VIII-Threshold Criteria'!B188</f>
        <v>0</v>
      </c>
      <c r="C1282" s="1936">
        <f>'Part VIII-Threshold Criteria'!C188</f>
        <v>0</v>
      </c>
      <c r="D1282" s="1936">
        <f>'Part VIII-Threshold Criteria'!D188</f>
        <v>0</v>
      </c>
      <c r="E1282" s="1936">
        <f>'Part VIII-Threshold Criteria'!E188</f>
        <v>0</v>
      </c>
      <c r="F1282" s="1936">
        <f>'Part VIII-Threshold Criteria'!F188</f>
        <v>0</v>
      </c>
      <c r="G1282" s="1936">
        <f>'Part VIII-Threshold Criteria'!G188</f>
        <v>0</v>
      </c>
      <c r="H1282" s="1936">
        <f>'Part VIII-Threshold Criteria'!H188</f>
        <v>0</v>
      </c>
      <c r="I1282" s="1936">
        <f>'Part VIII-Threshold Criteria'!I188</f>
        <v>0</v>
      </c>
      <c r="J1282" s="1936">
        <f>'Part VIII-Threshold Criteria'!J188</f>
        <v>0</v>
      </c>
      <c r="K1282" s="1936">
        <f>'Part VIII-Threshold Criteria'!K188</f>
        <v>0</v>
      </c>
      <c r="L1282" s="1936">
        <f>'Part VIII-Threshold Criteria'!L188</f>
        <v>0</v>
      </c>
      <c r="M1282" s="1936">
        <f>'Part VIII-Threshold Criteria'!M188</f>
        <v>0</v>
      </c>
      <c r="N1282" s="1936">
        <f>'Part VIII-Threshold Criteria'!N188</f>
        <v>0</v>
      </c>
      <c r="O1282" s="1936">
        <f>'Part VIII-Threshold Criteria'!O188</f>
        <v>0</v>
      </c>
      <c r="P1282" s="1936">
        <f>'Part VIII-Threshold Criteria'!P188</f>
        <v>0</v>
      </c>
      <c r="Q1282" s="1936">
        <f>'Part VIII-Threshold Criteria'!Q188</f>
        <v>0</v>
      </c>
    </row>
    <row r="1283" spans="1:17">
      <c r="B1283" s="1934"/>
      <c r="C1283" s="1939"/>
      <c r="D1283" s="1939"/>
      <c r="E1283" s="1939"/>
      <c r="F1283" s="1939"/>
      <c r="G1283" s="1939"/>
      <c r="H1283" s="1939"/>
      <c r="I1283" s="1939"/>
      <c r="J1283" s="1939"/>
      <c r="K1283" s="1939"/>
      <c r="L1283" s="1939"/>
      <c r="M1283" s="1939"/>
      <c r="N1283" s="1939"/>
      <c r="O1283" s="1939"/>
      <c r="P1283" s="1939"/>
      <c r="Q1283" s="1836"/>
    </row>
    <row r="1284" spans="1:17">
      <c r="A1284" s="1838" t="s">
        <v>364</v>
      </c>
      <c r="B1284" s="1818" t="s">
        <v>2675</v>
      </c>
      <c r="C1284" s="1818"/>
      <c r="D1284" s="1818"/>
      <c r="O1284" s="1935" t="s">
        <v>1881</v>
      </c>
      <c r="P1284" s="1844">
        <f>'Part VIII-Threshold Criteria'!P190</f>
        <v>0</v>
      </c>
      <c r="Q1284" s="1844">
        <f>'Part VIII-Threshold Criteria'!Q190</f>
        <v>0</v>
      </c>
    </row>
    <row r="1285" spans="1:17">
      <c r="A1285" s="1973" t="s">
        <v>1999</v>
      </c>
      <c r="B1285" s="1996" t="s">
        <v>472</v>
      </c>
      <c r="D1285" s="1996"/>
      <c r="E1285" s="1996"/>
      <c r="F1285" s="1996"/>
      <c r="G1285" s="1996"/>
      <c r="H1285" s="1996"/>
      <c r="I1285" s="1996"/>
      <c r="J1285" s="1996"/>
      <c r="K1285" s="1996"/>
      <c r="L1285" s="1996"/>
      <c r="M1285" s="1996"/>
      <c r="O1285" s="1987" t="s">
        <v>1999</v>
      </c>
      <c r="P1285" s="1942" t="str">
        <f>'Part VIII-Threshold Criteria'!P191</f>
        <v>Yes</v>
      </c>
      <c r="Q1285" s="1942">
        <f>'Part VIII-Threshold Criteria'!Q191</f>
        <v>0</v>
      </c>
    </row>
    <row r="1286" spans="1:17">
      <c r="A1286" s="1973" t="s">
        <v>2001</v>
      </c>
      <c r="B1286" s="1996" t="s">
        <v>2660</v>
      </c>
      <c r="D1286" s="1996"/>
      <c r="E1286" s="1996"/>
      <c r="F1286" s="1996"/>
      <c r="G1286" s="1996"/>
      <c r="H1286" s="1996"/>
      <c r="I1286" s="1996"/>
      <c r="J1286" s="1996"/>
      <c r="K1286" s="1996"/>
      <c r="L1286" s="1996"/>
      <c r="M1286" s="1996"/>
      <c r="O1286" s="1987" t="s">
        <v>2001</v>
      </c>
      <c r="P1286" s="1942" t="str">
        <f>'Part VIII-Threshold Criteria'!P192</f>
        <v>Yes</v>
      </c>
      <c r="Q1286" s="1942">
        <f>'Part VIII-Threshold Criteria'!Q192</f>
        <v>0</v>
      </c>
    </row>
    <row r="1287" spans="1:17">
      <c r="A1287" s="1973" t="s">
        <v>757</v>
      </c>
      <c r="B1287" s="1996" t="s">
        <v>2661</v>
      </c>
      <c r="D1287" s="1996"/>
      <c r="E1287" s="1996"/>
      <c r="F1287" s="1996"/>
      <c r="G1287" s="1996"/>
      <c r="H1287" s="1996"/>
      <c r="I1287" s="1996"/>
      <c r="J1287" s="1996"/>
      <c r="K1287" s="1996"/>
      <c r="L1287" s="1996"/>
      <c r="M1287" s="1996"/>
      <c r="O1287" s="1987" t="s">
        <v>757</v>
      </c>
      <c r="P1287" s="1942" t="str">
        <f>'Part VIII-Threshold Criteria'!P193</f>
        <v>Yes</v>
      </c>
      <c r="Q1287" s="1942">
        <f>'Part VIII-Threshold Criteria'!Q193</f>
        <v>0</v>
      </c>
    </row>
    <row r="1288" spans="1:17">
      <c r="A1288" s="1973"/>
      <c r="B1288" s="1936" t="s">
        <v>2649</v>
      </c>
      <c r="C1288" s="1936"/>
      <c r="D1288" s="1977" t="s">
        <v>1750</v>
      </c>
      <c r="E1288" s="1872" t="s">
        <v>2662</v>
      </c>
      <c r="G1288" s="1996"/>
      <c r="H1288" s="1996"/>
      <c r="I1288" s="1996"/>
      <c r="J1288" s="1996"/>
      <c r="K1288" s="1996"/>
      <c r="L1288" s="1996"/>
      <c r="M1288" s="1996"/>
      <c r="O1288" s="1997" t="s">
        <v>1750</v>
      </c>
      <c r="P1288" s="1942" t="str">
        <f>'Part VIII-Threshold Criteria'!P194</f>
        <v>Yes</v>
      </c>
      <c r="Q1288" s="1942">
        <f>'Part VIII-Threshold Criteria'!Q194</f>
        <v>0</v>
      </c>
    </row>
    <row r="1289" spans="1:17">
      <c r="A1289" s="1973"/>
      <c r="B1289" s="1936"/>
      <c r="C1289" s="1936"/>
      <c r="D1289" s="1977" t="s">
        <v>1751</v>
      </c>
      <c r="E1289" s="1872" t="s">
        <v>4791</v>
      </c>
      <c r="G1289" s="1996"/>
      <c r="H1289" s="1996"/>
      <c r="I1289" s="1996"/>
      <c r="J1289" s="1996"/>
      <c r="K1289" s="1996"/>
      <c r="L1289" s="1996"/>
      <c r="M1289" s="1996"/>
      <c r="O1289" s="1997" t="s">
        <v>1751</v>
      </c>
      <c r="P1289" s="1942" t="str">
        <f>'Part VIII-Threshold Criteria'!P195</f>
        <v>Yes</v>
      </c>
      <c r="Q1289" s="1942">
        <f>'Part VIII-Threshold Criteria'!Q195</f>
        <v>0</v>
      </c>
    </row>
    <row r="1290" spans="1:17" ht="12.75" customHeight="1">
      <c r="A1290" s="1973"/>
      <c r="B1290" s="1953"/>
      <c r="C1290" s="1996"/>
      <c r="D1290" s="1987" t="s">
        <v>1752</v>
      </c>
      <c r="E1290" s="1936" t="s">
        <v>3772</v>
      </c>
      <c r="F1290" s="1936"/>
      <c r="G1290" s="1936"/>
      <c r="H1290" s="1936"/>
      <c r="I1290" s="1936"/>
      <c r="J1290" s="1936"/>
      <c r="K1290" s="1936"/>
      <c r="L1290" s="1936"/>
      <c r="M1290" s="1936"/>
      <c r="N1290" s="1936"/>
      <c r="O1290" s="1987" t="s">
        <v>1752</v>
      </c>
      <c r="P1290" s="1988" t="str">
        <f>'Part VIII-Threshold Criteria'!P196</f>
        <v>Yes</v>
      </c>
      <c r="Q1290" s="1988">
        <f>'Part VIII-Threshold Criteria'!Q196</f>
        <v>0</v>
      </c>
    </row>
    <row r="1291" spans="1:17">
      <c r="A1291" s="1973"/>
      <c r="C1291" s="1996"/>
      <c r="D1291" s="1977" t="s">
        <v>2381</v>
      </c>
      <c r="E1291" s="1872" t="s">
        <v>2664</v>
      </c>
      <c r="G1291" s="1996"/>
      <c r="H1291" s="1996"/>
      <c r="I1291" s="1996"/>
      <c r="J1291" s="1996"/>
      <c r="K1291" s="1996"/>
      <c r="L1291" s="1996"/>
      <c r="M1291" s="1996"/>
      <c r="O1291" s="1997" t="s">
        <v>2381</v>
      </c>
      <c r="P1291" s="1942" t="str">
        <f>'Part VIII-Threshold Criteria'!P197</f>
        <v>Yes</v>
      </c>
      <c r="Q1291" s="1942">
        <f>'Part VIII-Threshold Criteria'!Q197</f>
        <v>0</v>
      </c>
    </row>
    <row r="1292" spans="1:17" ht="12.75" customHeight="1">
      <c r="A1292" s="1973"/>
      <c r="B1292" s="1953"/>
      <c r="C1292" s="1996"/>
      <c r="D1292" s="1987" t="s">
        <v>1561</v>
      </c>
      <c r="E1292" s="1936" t="s">
        <v>2665</v>
      </c>
      <c r="F1292" s="1936"/>
      <c r="G1292" s="1936"/>
      <c r="H1292" s="1936"/>
      <c r="I1292" s="1936"/>
      <c r="J1292" s="1936"/>
      <c r="K1292" s="1936"/>
      <c r="L1292" s="1936"/>
      <c r="M1292" s="1936"/>
      <c r="N1292" s="1936"/>
      <c r="O1292" s="1987" t="s">
        <v>1561</v>
      </c>
      <c r="P1292" s="1988" t="str">
        <f>'Part VIII-Threshold Criteria'!P198</f>
        <v>Yes</v>
      </c>
      <c r="Q1292" s="1988">
        <f>'Part VIII-Threshold Criteria'!Q198</f>
        <v>0</v>
      </c>
    </row>
    <row r="1293" spans="1:17" ht="12.75" customHeight="1">
      <c r="A1293" s="1973"/>
      <c r="B1293" s="1953"/>
      <c r="C1293" s="1996"/>
      <c r="D1293" s="1987" t="s">
        <v>1562</v>
      </c>
      <c r="E1293" s="1936" t="s">
        <v>3927</v>
      </c>
      <c r="F1293" s="1936"/>
      <c r="G1293" s="1936"/>
      <c r="H1293" s="1936"/>
      <c r="I1293" s="1936"/>
      <c r="J1293" s="1936"/>
      <c r="K1293" s="1936"/>
      <c r="L1293" s="1936"/>
      <c r="M1293" s="1936"/>
      <c r="N1293" s="1936"/>
      <c r="O1293" s="1987" t="s">
        <v>1562</v>
      </c>
      <c r="P1293" s="1988" t="str">
        <f>'Part VIII-Threshold Criteria'!P199</f>
        <v>N/Ap</v>
      </c>
      <c r="Q1293" s="1988">
        <f>'Part VIII-Threshold Criteria'!Q199</f>
        <v>0</v>
      </c>
    </row>
    <row r="1294" spans="1:17" ht="12.75" customHeight="1">
      <c r="A1294" s="1973" t="s">
        <v>2131</v>
      </c>
      <c r="B1294" s="1936" t="s">
        <v>2666</v>
      </c>
      <c r="C1294" s="1936"/>
      <c r="D1294" s="1936"/>
      <c r="E1294" s="1936"/>
      <c r="F1294" s="1936"/>
      <c r="G1294" s="1936"/>
      <c r="H1294" s="1936"/>
      <c r="I1294" s="1936"/>
      <c r="J1294" s="1936"/>
      <c r="K1294" s="1936"/>
      <c r="L1294" s="1936"/>
      <c r="M1294" s="1936"/>
      <c r="N1294" s="1936"/>
      <c r="O1294" s="1987" t="s">
        <v>2131</v>
      </c>
      <c r="P1294" s="1988" t="str">
        <f>'Part VIII-Threshold Criteria'!P200</f>
        <v>Yes</v>
      </c>
      <c r="Q1294" s="1988">
        <f>'Part VIII-Threshold Criteria'!Q200</f>
        <v>0</v>
      </c>
    </row>
    <row r="1295" spans="1:17">
      <c r="A1295" s="1973" t="s">
        <v>1748</v>
      </c>
      <c r="B1295" s="1996" t="s">
        <v>2395</v>
      </c>
      <c r="D1295" s="1996"/>
      <c r="E1295" s="1996"/>
      <c r="F1295" s="1996"/>
      <c r="G1295" s="1996"/>
      <c r="H1295" s="1996"/>
      <c r="I1295" s="1996"/>
      <c r="J1295" s="1996"/>
      <c r="K1295" s="1996"/>
      <c r="L1295" s="1996"/>
      <c r="M1295" s="1996"/>
      <c r="O1295" s="1987" t="s">
        <v>1748</v>
      </c>
      <c r="P1295" s="1942" t="str">
        <f>'Part VIII-Threshold Criteria'!P201</f>
        <v>Yes</v>
      </c>
      <c r="Q1295" s="1942">
        <f>'Part VIII-Threshold Criteria'!Q201</f>
        <v>0</v>
      </c>
    </row>
    <row r="1296" spans="1:17">
      <c r="B1296" s="1873" t="s">
        <v>3779</v>
      </c>
      <c r="D1296" s="1873"/>
      <c r="E1296" s="1873"/>
      <c r="F1296" s="1873"/>
      <c r="G1296" s="1873"/>
      <c r="H1296" s="1872"/>
      <c r="I1296" s="1934"/>
      <c r="J1296" s="1934"/>
      <c r="K1296" s="1934"/>
      <c r="L1296" s="1836"/>
      <c r="M1296" s="1836"/>
      <c r="N1296" s="1836"/>
      <c r="O1296" s="1836"/>
      <c r="P1296" s="1836"/>
      <c r="Q1296" s="1836"/>
    </row>
    <row r="1297" spans="1:17" ht="409.5">
      <c r="A1297" s="1936" t="str">
        <f>'Part VIII-Threshold Criteria'!A203</f>
        <v>Tindall Fields III meets Threshold approval for zoning because Tindall Fields III conforms to all of the DCA and local requirements listed above.  This documentation is located at Tab 10-01. For Item C-5, the “HUD funds” noted is actually the MHA allocation of Section 8 Project Based Vouchers.
The zoning classification for Tindall Fields III is PDR-Planned Development Residential</v>
      </c>
      <c r="B1297" s="1936">
        <f>'Part VIII-Threshold Criteria'!B203</f>
        <v>0</v>
      </c>
      <c r="C1297" s="1936">
        <f>'Part VIII-Threshold Criteria'!C203</f>
        <v>0</v>
      </c>
      <c r="D1297" s="1936">
        <f>'Part VIII-Threshold Criteria'!D203</f>
        <v>0</v>
      </c>
      <c r="E1297" s="1936">
        <f>'Part VIII-Threshold Criteria'!E203</f>
        <v>0</v>
      </c>
      <c r="F1297" s="1936">
        <f>'Part VIII-Threshold Criteria'!F203</f>
        <v>0</v>
      </c>
      <c r="G1297" s="1936">
        <f>'Part VIII-Threshold Criteria'!G203</f>
        <v>0</v>
      </c>
      <c r="H1297" s="1936">
        <f>'Part VIII-Threshold Criteria'!H203</f>
        <v>0</v>
      </c>
      <c r="I1297" s="1936">
        <f>'Part VIII-Threshold Criteria'!I203</f>
        <v>0</v>
      </c>
      <c r="J1297" s="1936">
        <f>'Part VIII-Threshold Criteria'!J203</f>
        <v>0</v>
      </c>
      <c r="K1297" s="1936">
        <f>'Part VIII-Threshold Criteria'!K203</f>
        <v>0</v>
      </c>
      <c r="L1297" s="1936">
        <f>'Part VIII-Threshold Criteria'!L203</f>
        <v>0</v>
      </c>
      <c r="M1297" s="1936">
        <f>'Part VIII-Threshold Criteria'!M203</f>
        <v>0</v>
      </c>
      <c r="N1297" s="1936">
        <f>'Part VIII-Threshold Criteria'!N203</f>
        <v>0</v>
      </c>
      <c r="O1297" s="1936">
        <f>'Part VIII-Threshold Criteria'!O203</f>
        <v>0</v>
      </c>
      <c r="P1297" s="1936">
        <f>'Part VIII-Threshold Criteria'!P203</f>
        <v>0</v>
      </c>
      <c r="Q1297" s="1936">
        <f>'Part VIII-Threshold Criteria'!Q203</f>
        <v>0</v>
      </c>
    </row>
    <row r="1298" spans="1:17">
      <c r="B1298" s="1937" t="s">
        <v>1880</v>
      </c>
      <c r="C1298" s="1938"/>
      <c r="D1298" s="1939"/>
      <c r="E1298" s="1939"/>
      <c r="F1298" s="1939"/>
      <c r="G1298" s="1939"/>
      <c r="H1298" s="1939"/>
      <c r="I1298" s="1939"/>
      <c r="J1298" s="1939"/>
      <c r="K1298" s="1939"/>
      <c r="L1298" s="1939"/>
      <c r="M1298" s="1939"/>
      <c r="N1298" s="1939"/>
      <c r="O1298" s="1939"/>
      <c r="P1298" s="1939"/>
      <c r="Q1298" s="1939"/>
    </row>
    <row r="1299" spans="1:17">
      <c r="A1299" s="1936">
        <f>'Part VIII-Threshold Criteria'!A205</f>
        <v>0</v>
      </c>
      <c r="B1299" s="1936">
        <f>'Part VIII-Threshold Criteria'!B205</f>
        <v>0</v>
      </c>
      <c r="C1299" s="1936">
        <f>'Part VIII-Threshold Criteria'!C205</f>
        <v>0</v>
      </c>
      <c r="D1299" s="1936">
        <f>'Part VIII-Threshold Criteria'!D205</f>
        <v>0</v>
      </c>
      <c r="E1299" s="1936">
        <f>'Part VIII-Threshold Criteria'!E205</f>
        <v>0</v>
      </c>
      <c r="F1299" s="1936">
        <f>'Part VIII-Threshold Criteria'!F205</f>
        <v>0</v>
      </c>
      <c r="G1299" s="1936">
        <f>'Part VIII-Threshold Criteria'!G205</f>
        <v>0</v>
      </c>
      <c r="H1299" s="1936">
        <f>'Part VIII-Threshold Criteria'!H205</f>
        <v>0</v>
      </c>
      <c r="I1299" s="1936">
        <f>'Part VIII-Threshold Criteria'!I205</f>
        <v>0</v>
      </c>
      <c r="J1299" s="1936">
        <f>'Part VIII-Threshold Criteria'!J205</f>
        <v>0</v>
      </c>
      <c r="K1299" s="1936">
        <f>'Part VIII-Threshold Criteria'!K205</f>
        <v>0</v>
      </c>
      <c r="L1299" s="1936">
        <f>'Part VIII-Threshold Criteria'!L205</f>
        <v>0</v>
      </c>
      <c r="M1299" s="1936">
        <f>'Part VIII-Threshold Criteria'!M205</f>
        <v>0</v>
      </c>
      <c r="N1299" s="1936">
        <f>'Part VIII-Threshold Criteria'!N205</f>
        <v>0</v>
      </c>
      <c r="O1299" s="1936">
        <f>'Part VIII-Threshold Criteria'!O205</f>
        <v>0</v>
      </c>
      <c r="P1299" s="1936">
        <f>'Part VIII-Threshold Criteria'!P205</f>
        <v>0</v>
      </c>
      <c r="Q1299" s="1936">
        <f>'Part VIII-Threshold Criteria'!Q205</f>
        <v>0</v>
      </c>
    </row>
    <row r="1300" spans="1:17">
      <c r="A1300" s="1836"/>
      <c r="B1300" s="1934"/>
      <c r="C1300" s="1939"/>
      <c r="D1300" s="1939"/>
      <c r="E1300" s="1939"/>
      <c r="F1300" s="1939"/>
      <c r="G1300" s="1939"/>
      <c r="H1300" s="1939"/>
      <c r="I1300" s="1939"/>
      <c r="J1300" s="1939"/>
      <c r="K1300" s="1939"/>
      <c r="L1300" s="1939"/>
      <c r="M1300" s="1939"/>
      <c r="N1300" s="1939"/>
      <c r="O1300" s="1939"/>
      <c r="P1300" s="1939"/>
      <c r="Q1300" s="1836"/>
    </row>
    <row r="1301" spans="1:17">
      <c r="A1301" s="1819" t="s">
        <v>365</v>
      </c>
      <c r="B1301" s="1819" t="s">
        <v>2676</v>
      </c>
      <c r="C1301" s="1819"/>
      <c r="D1301" s="1939"/>
      <c r="E1301" s="1998"/>
      <c r="F1301" s="1998"/>
      <c r="G1301" s="1939"/>
      <c r="J1301" s="1936"/>
      <c r="K1301" s="1936"/>
      <c r="L1301" s="1936"/>
      <c r="M1301" s="1936"/>
      <c r="N1301" s="1936"/>
      <c r="O1301" s="1935" t="s">
        <v>1881</v>
      </c>
      <c r="P1301" s="1844">
        <f>'Part VIII-Threshold Criteria'!P207</f>
        <v>0</v>
      </c>
      <c r="Q1301" s="1844">
        <f>'Part VIII-Threshold Criteria'!Q207</f>
        <v>0</v>
      </c>
    </row>
    <row r="1302" spans="1:17">
      <c r="A1302" s="1855"/>
      <c r="B1302" s="1961" t="s">
        <v>98</v>
      </c>
      <c r="D1302" s="1961"/>
      <c r="E1302" s="1961"/>
      <c r="F1302" s="1961"/>
      <c r="G1302" s="1961"/>
      <c r="H1302" s="1977" t="s">
        <v>1750</v>
      </c>
      <c r="I1302" s="478" t="s">
        <v>153</v>
      </c>
      <c r="J1302" s="1933" t="str">
        <f>'Part VIII-Threshold Criteria'!J208</f>
        <v>N/A</v>
      </c>
      <c r="K1302" s="1933">
        <f>'Part VIII-Threshold Criteria'!K208</f>
        <v>0</v>
      </c>
      <c r="L1302" s="1933">
        <f>'Part VIII-Threshold Criteria'!L208</f>
        <v>0</v>
      </c>
      <c r="M1302" s="1933">
        <f>'Part VIII-Threshold Criteria'!M208</f>
        <v>0</v>
      </c>
      <c r="N1302" s="1933">
        <f>'Part VIII-Threshold Criteria'!N208</f>
        <v>0</v>
      </c>
      <c r="O1302" s="1977" t="s">
        <v>1750</v>
      </c>
      <c r="P1302" s="1942">
        <f>'Part VIII-Threshold Criteria'!P208</f>
        <v>0</v>
      </c>
      <c r="Q1302" s="1942">
        <f>'Part VIII-Threshold Criteria'!Q208</f>
        <v>0</v>
      </c>
    </row>
    <row r="1303" spans="1:17">
      <c r="A1303" s="1855"/>
      <c r="B1303" s="1873" t="s">
        <v>3779</v>
      </c>
      <c r="C1303" s="1775"/>
      <c r="D1303" s="1775"/>
      <c r="E1303" s="1775"/>
      <c r="F1303" s="1775"/>
      <c r="H1303" s="1977" t="s">
        <v>1751</v>
      </c>
      <c r="I1303" s="478" t="s">
        <v>1608</v>
      </c>
      <c r="J1303" s="1933" t="str">
        <f>'Part VIII-Threshold Criteria'!J209</f>
        <v>Georgia Power</v>
      </c>
      <c r="K1303" s="1933">
        <f>'Part VIII-Threshold Criteria'!K209</f>
        <v>0</v>
      </c>
      <c r="L1303" s="1933">
        <f>'Part VIII-Threshold Criteria'!L209</f>
        <v>0</v>
      </c>
      <c r="M1303" s="1933">
        <f>'Part VIII-Threshold Criteria'!M209</f>
        <v>0</v>
      </c>
      <c r="N1303" s="1933">
        <f>'Part VIII-Threshold Criteria'!N209</f>
        <v>0</v>
      </c>
      <c r="O1303" s="1977" t="s">
        <v>1751</v>
      </c>
      <c r="P1303" s="1942" t="str">
        <f>'Part VIII-Threshold Criteria'!P209</f>
        <v>Yes</v>
      </c>
      <c r="Q1303" s="1942">
        <f>'Part VIII-Threshold Criteria'!Q209</f>
        <v>0</v>
      </c>
    </row>
    <row r="1304" spans="1:17" ht="225">
      <c r="A1304" s="1936" t="str">
        <f>'Part VIII-Threshold Criteria'!A210</f>
        <v xml:space="preserve">Gas is N/A because Tindall Fields III will be all-electric. Tindall Fields III meets Threshold approval because the “will serve” letter from Georgia Power Company is provided at Tab 11-01. </v>
      </c>
      <c r="B1304" s="1936">
        <f>'Part VIII-Threshold Criteria'!B210</f>
        <v>0</v>
      </c>
      <c r="C1304" s="1936">
        <f>'Part VIII-Threshold Criteria'!C210</f>
        <v>0</v>
      </c>
      <c r="D1304" s="1936">
        <f>'Part VIII-Threshold Criteria'!D210</f>
        <v>0</v>
      </c>
      <c r="E1304" s="1936">
        <f>'Part VIII-Threshold Criteria'!E210</f>
        <v>0</v>
      </c>
      <c r="F1304" s="1936">
        <f>'Part VIII-Threshold Criteria'!F210</f>
        <v>0</v>
      </c>
      <c r="G1304" s="1936">
        <f>'Part VIII-Threshold Criteria'!G210</f>
        <v>0</v>
      </c>
      <c r="H1304" s="1936">
        <f>'Part VIII-Threshold Criteria'!H210</f>
        <v>0</v>
      </c>
      <c r="I1304" s="1936">
        <f>'Part VIII-Threshold Criteria'!I210</f>
        <v>0</v>
      </c>
      <c r="J1304" s="1936">
        <f>'Part VIII-Threshold Criteria'!J210</f>
        <v>0</v>
      </c>
      <c r="K1304" s="1936">
        <f>'Part VIII-Threshold Criteria'!K210</f>
        <v>0</v>
      </c>
      <c r="L1304" s="1936">
        <f>'Part VIII-Threshold Criteria'!L210</f>
        <v>0</v>
      </c>
      <c r="M1304" s="1936">
        <f>'Part VIII-Threshold Criteria'!M210</f>
        <v>0</v>
      </c>
      <c r="N1304" s="1936">
        <f>'Part VIII-Threshold Criteria'!N210</f>
        <v>0</v>
      </c>
      <c r="O1304" s="1936">
        <f>'Part VIII-Threshold Criteria'!O210</f>
        <v>0</v>
      </c>
      <c r="P1304" s="1936">
        <f>'Part VIII-Threshold Criteria'!P210</f>
        <v>0</v>
      </c>
      <c r="Q1304" s="1936">
        <f>'Part VIII-Threshold Criteria'!Q210</f>
        <v>0</v>
      </c>
    </row>
    <row r="1305" spans="1:17">
      <c r="B1305" s="1937" t="s">
        <v>1880</v>
      </c>
      <c r="C1305" s="1938"/>
      <c r="D1305" s="1939"/>
      <c r="E1305" s="1939"/>
      <c r="F1305" s="1939"/>
      <c r="G1305" s="1939"/>
      <c r="H1305" s="1939"/>
      <c r="I1305" s="1939"/>
      <c r="J1305" s="1939"/>
      <c r="K1305" s="1939"/>
      <c r="L1305" s="1939"/>
      <c r="M1305" s="1939"/>
      <c r="N1305" s="1939"/>
      <c r="O1305" s="1939"/>
      <c r="P1305" s="1939"/>
      <c r="Q1305" s="1939"/>
    </row>
    <row r="1306" spans="1:17">
      <c r="A1306" s="1936">
        <f>'Part VIII-Threshold Criteria'!A212</f>
        <v>0</v>
      </c>
      <c r="B1306" s="1936">
        <f>'Part VIII-Threshold Criteria'!B212</f>
        <v>0</v>
      </c>
      <c r="C1306" s="1936">
        <f>'Part VIII-Threshold Criteria'!C212</f>
        <v>0</v>
      </c>
      <c r="D1306" s="1936">
        <f>'Part VIII-Threshold Criteria'!D212</f>
        <v>0</v>
      </c>
      <c r="E1306" s="1936">
        <f>'Part VIII-Threshold Criteria'!E212</f>
        <v>0</v>
      </c>
      <c r="F1306" s="1936">
        <f>'Part VIII-Threshold Criteria'!F212</f>
        <v>0</v>
      </c>
      <c r="G1306" s="1936">
        <f>'Part VIII-Threshold Criteria'!G212</f>
        <v>0</v>
      </c>
      <c r="H1306" s="1936">
        <f>'Part VIII-Threshold Criteria'!H212</f>
        <v>0</v>
      </c>
      <c r="I1306" s="1936">
        <f>'Part VIII-Threshold Criteria'!I212</f>
        <v>0</v>
      </c>
      <c r="J1306" s="1936">
        <f>'Part VIII-Threshold Criteria'!J212</f>
        <v>0</v>
      </c>
      <c r="K1306" s="1936">
        <f>'Part VIII-Threshold Criteria'!K212</f>
        <v>0</v>
      </c>
      <c r="L1306" s="1936">
        <f>'Part VIII-Threshold Criteria'!L212</f>
        <v>0</v>
      </c>
      <c r="M1306" s="1936">
        <f>'Part VIII-Threshold Criteria'!M212</f>
        <v>0</v>
      </c>
      <c r="N1306" s="1936">
        <f>'Part VIII-Threshold Criteria'!N212</f>
        <v>0</v>
      </c>
      <c r="O1306" s="1936">
        <f>'Part VIII-Threshold Criteria'!O212</f>
        <v>0</v>
      </c>
      <c r="P1306" s="1936">
        <f>'Part VIII-Threshold Criteria'!P212</f>
        <v>0</v>
      </c>
      <c r="Q1306" s="1936">
        <f>'Part VIII-Threshold Criteria'!Q212</f>
        <v>0</v>
      </c>
    </row>
    <row r="1307" spans="1:17">
      <c r="B1307" s="1934"/>
      <c r="C1307" s="1939"/>
      <c r="D1307" s="1939"/>
      <c r="E1307" s="1939"/>
      <c r="F1307" s="1939"/>
      <c r="G1307" s="1939"/>
      <c r="H1307" s="1939"/>
      <c r="I1307" s="1939"/>
      <c r="J1307" s="1939"/>
      <c r="K1307" s="1939"/>
      <c r="L1307" s="1939"/>
      <c r="M1307" s="1939"/>
      <c r="Q1307" s="1836"/>
    </row>
    <row r="1308" spans="1:17">
      <c r="A1308" s="1819" t="s">
        <v>366</v>
      </c>
      <c r="B1308" s="1818" t="s">
        <v>2677</v>
      </c>
      <c r="C1308" s="1818"/>
      <c r="D1308" s="1933"/>
      <c r="E1308" s="1933"/>
      <c r="F1308" s="1933"/>
      <c r="G1308" s="1939"/>
      <c r="H1308" s="1939"/>
      <c r="I1308" s="1939"/>
      <c r="J1308" s="1939"/>
      <c r="K1308" s="1939"/>
      <c r="L1308" s="1939"/>
      <c r="M1308" s="1939"/>
      <c r="O1308" s="1935" t="s">
        <v>1881</v>
      </c>
      <c r="P1308" s="1844">
        <f>'Part VIII-Threshold Criteria'!P214</f>
        <v>0</v>
      </c>
      <c r="Q1308" s="1844">
        <f>'Part VIII-Threshold Criteria'!Q214</f>
        <v>0</v>
      </c>
    </row>
    <row r="1310" spans="1:17">
      <c r="A1310" s="1973" t="s">
        <v>1999</v>
      </c>
      <c r="B1310" s="1986" t="s">
        <v>1750</v>
      </c>
      <c r="C1310" s="1999" t="s">
        <v>519</v>
      </c>
      <c r="E1310" s="1999"/>
      <c r="F1310" s="1999"/>
      <c r="G1310" s="1999"/>
      <c r="H1310" s="1999"/>
      <c r="I1310" s="1999"/>
      <c r="J1310" s="1999"/>
      <c r="K1310" s="1999"/>
      <c r="L1310" s="1999"/>
      <c r="M1310" s="1999"/>
      <c r="N1310" s="1999"/>
      <c r="O1310" s="1987" t="s">
        <v>1498</v>
      </c>
      <c r="P1310" s="1942" t="str">
        <f>'Part VIII-Threshold Criteria'!P216</f>
        <v>No</v>
      </c>
      <c r="Q1310" s="1942">
        <f>'Part VIII-Threshold Criteria'!Q216</f>
        <v>0</v>
      </c>
    </row>
    <row r="1311" spans="1:17">
      <c r="A1311" s="1973"/>
      <c r="B1311" s="1986" t="s">
        <v>1751</v>
      </c>
      <c r="C1311" s="1999" t="s">
        <v>1479</v>
      </c>
      <c r="E1311" s="1999"/>
      <c r="F1311" s="1999"/>
      <c r="G1311" s="1999"/>
      <c r="H1311" s="1999"/>
      <c r="I1311" s="1999"/>
      <c r="J1311" s="1999"/>
      <c r="K1311" s="1999"/>
      <c r="L1311" s="1999"/>
      <c r="M1311" s="1999"/>
      <c r="N1311" s="1999"/>
      <c r="O1311" s="1987" t="s">
        <v>1751</v>
      </c>
      <c r="P1311" s="1942">
        <f>'Part VIII-Threshold Criteria'!P217</f>
        <v>0</v>
      </c>
      <c r="Q1311" s="1942">
        <f>'Part VIII-Threshold Criteria'!Q217</f>
        <v>0</v>
      </c>
    </row>
    <row r="1312" spans="1:17" ht="12.75" customHeight="1">
      <c r="A1312" s="1973" t="s">
        <v>2001</v>
      </c>
      <c r="B1312" s="1936" t="s">
        <v>1863</v>
      </c>
      <c r="C1312" s="1936"/>
      <c r="D1312" s="1936"/>
      <c r="E1312" s="1936"/>
      <c r="F1312" s="1936"/>
      <c r="G1312" s="1936"/>
      <c r="H1312" s="1977" t="s">
        <v>1750</v>
      </c>
      <c r="I1312" s="478" t="s">
        <v>641</v>
      </c>
      <c r="J1312" s="1933" t="str">
        <f>'Part VIII-Threshold Criteria'!J218</f>
        <v>Macon Water Authority</v>
      </c>
      <c r="K1312" s="1933">
        <f>'Part VIII-Threshold Criteria'!K218</f>
        <v>0</v>
      </c>
      <c r="L1312" s="1933">
        <f>'Part VIII-Threshold Criteria'!L218</f>
        <v>0</v>
      </c>
      <c r="M1312" s="1933">
        <f>'Part VIII-Threshold Criteria'!M218</f>
        <v>0</v>
      </c>
      <c r="N1312" s="1933">
        <f>'Part VIII-Threshold Criteria'!N218</f>
        <v>0</v>
      </c>
      <c r="O1312" s="1977" t="s">
        <v>1458</v>
      </c>
      <c r="P1312" s="1942" t="str">
        <f>'Part VIII-Threshold Criteria'!P218</f>
        <v>Yes</v>
      </c>
      <c r="Q1312" s="1942">
        <f>'Part VIII-Threshold Criteria'!Q218</f>
        <v>0</v>
      </c>
    </row>
    <row r="1313" spans="1:17">
      <c r="A1313" s="1834"/>
      <c r="B1313" s="1936"/>
      <c r="C1313" s="1936"/>
      <c r="D1313" s="1936"/>
      <c r="E1313" s="1936"/>
      <c r="F1313" s="1936"/>
      <c r="G1313" s="1936"/>
      <c r="H1313" s="1977" t="s">
        <v>1751</v>
      </c>
      <c r="I1313" s="478" t="s">
        <v>117</v>
      </c>
      <c r="J1313" s="1933" t="str">
        <f>'Part VIII-Threshold Criteria'!J219</f>
        <v>Macon Water Authority</v>
      </c>
      <c r="K1313" s="1933">
        <f>'Part VIII-Threshold Criteria'!K219</f>
        <v>0</v>
      </c>
      <c r="L1313" s="1933">
        <f>'Part VIII-Threshold Criteria'!L219</f>
        <v>0</v>
      </c>
      <c r="M1313" s="1933">
        <f>'Part VIII-Threshold Criteria'!M219</f>
        <v>0</v>
      </c>
      <c r="N1313" s="1933">
        <f>'Part VIII-Threshold Criteria'!N219</f>
        <v>0</v>
      </c>
      <c r="O1313" s="1977" t="s">
        <v>1751</v>
      </c>
      <c r="P1313" s="1942" t="str">
        <f>'Part VIII-Threshold Criteria'!P219</f>
        <v>Yes</v>
      </c>
      <c r="Q1313" s="1942">
        <f>'Part VIII-Threshold Criteria'!Q219</f>
        <v>0</v>
      </c>
    </row>
    <row r="1314" spans="1:17">
      <c r="A1314" s="1975" t="s">
        <v>757</v>
      </c>
      <c r="B1314" s="478" t="s">
        <v>3934</v>
      </c>
      <c r="D1314" s="478"/>
      <c r="E1314" s="478"/>
      <c r="F1314" s="478"/>
      <c r="G1314" s="478"/>
      <c r="H1314" s="478"/>
      <c r="I1314" s="478"/>
      <c r="J1314" s="478"/>
      <c r="K1314" s="1629"/>
      <c r="L1314" s="478"/>
      <c r="M1314" s="478"/>
      <c r="O1314" s="1977" t="s">
        <v>757</v>
      </c>
      <c r="P1314" s="1942" t="str">
        <f>'Part VIII-Threshold Criteria'!P220</f>
        <v>Yes</v>
      </c>
      <c r="Q1314" s="1942">
        <f>'Part VIII-Threshold Criteria'!Q220</f>
        <v>0</v>
      </c>
    </row>
    <row r="1315" spans="1:17">
      <c r="A1315" s="1975" t="s">
        <v>2131</v>
      </c>
      <c r="B1315" s="478" t="s">
        <v>3935</v>
      </c>
      <c r="D1315" s="478"/>
      <c r="E1315" s="478"/>
      <c r="F1315" s="478"/>
      <c r="G1315" s="478"/>
      <c r="H1315" s="478"/>
      <c r="I1315" s="478"/>
      <c r="J1315" s="478"/>
      <c r="K1315" s="1629"/>
      <c r="L1315" s="478"/>
      <c r="M1315" s="478"/>
      <c r="O1315" s="1977" t="s">
        <v>2131</v>
      </c>
      <c r="P1315" s="1942" t="str">
        <f>'Part VIII-Threshold Criteria'!P221</f>
        <v>No</v>
      </c>
      <c r="Q1315" s="1942">
        <f>'Part VIII-Threshold Criteria'!Q221</f>
        <v>0</v>
      </c>
    </row>
    <row r="1316" spans="1:17">
      <c r="B1316" s="1873" t="s">
        <v>3779</v>
      </c>
      <c r="D1316" s="1873"/>
      <c r="E1316" s="1873"/>
      <c r="F1316" s="1873"/>
      <c r="G1316" s="1873"/>
      <c r="H1316" s="1872"/>
      <c r="I1316" s="1934"/>
      <c r="J1316" s="1934"/>
      <c r="K1316" s="1934"/>
      <c r="L1316" s="1836"/>
      <c r="M1316" s="1836"/>
      <c r="N1316" s="1836"/>
      <c r="O1316" s="1836"/>
      <c r="P1316" s="1836"/>
      <c r="Q1316" s="1836"/>
    </row>
    <row r="1317" spans="1:17" ht="337.5">
      <c r="A1317" s="1936" t="str">
        <f>'Part VIII-Threshold Criteria'!A223</f>
        <v xml:space="preserve">Tindall Fields III meets Threshold approval because the “will serve” letter from the Macon Water Authority filed at Tab 12-01 confirms that water and sewer is available for Tindall Fields III, with sufficient capacity. Public water and sewer have served the Tindall Heights site since 1940. </v>
      </c>
      <c r="B1317" s="1936">
        <f>'Part VIII-Threshold Criteria'!B223</f>
        <v>0</v>
      </c>
      <c r="C1317" s="1936">
        <f>'Part VIII-Threshold Criteria'!C223</f>
        <v>0</v>
      </c>
      <c r="D1317" s="1936">
        <f>'Part VIII-Threshold Criteria'!D223</f>
        <v>0</v>
      </c>
      <c r="E1317" s="1936">
        <f>'Part VIII-Threshold Criteria'!E223</f>
        <v>0</v>
      </c>
      <c r="F1317" s="1936">
        <f>'Part VIII-Threshold Criteria'!F223</f>
        <v>0</v>
      </c>
      <c r="G1317" s="1936">
        <f>'Part VIII-Threshold Criteria'!G223</f>
        <v>0</v>
      </c>
      <c r="H1317" s="1936">
        <f>'Part VIII-Threshold Criteria'!H223</f>
        <v>0</v>
      </c>
      <c r="I1317" s="1936">
        <f>'Part VIII-Threshold Criteria'!I223</f>
        <v>0</v>
      </c>
      <c r="J1317" s="1936">
        <f>'Part VIII-Threshold Criteria'!J223</f>
        <v>0</v>
      </c>
      <c r="K1317" s="1936">
        <f>'Part VIII-Threshold Criteria'!K223</f>
        <v>0</v>
      </c>
      <c r="L1317" s="1936">
        <f>'Part VIII-Threshold Criteria'!L223</f>
        <v>0</v>
      </c>
      <c r="M1317" s="1936">
        <f>'Part VIII-Threshold Criteria'!M223</f>
        <v>0</v>
      </c>
      <c r="N1317" s="1936">
        <f>'Part VIII-Threshold Criteria'!N223</f>
        <v>0</v>
      </c>
      <c r="O1317" s="1936">
        <f>'Part VIII-Threshold Criteria'!O223</f>
        <v>0</v>
      </c>
      <c r="P1317" s="1936">
        <f>'Part VIII-Threshold Criteria'!P223</f>
        <v>0</v>
      </c>
      <c r="Q1317" s="1936">
        <f>'Part VIII-Threshold Criteria'!Q223</f>
        <v>0</v>
      </c>
    </row>
    <row r="1318" spans="1:17">
      <c r="B1318" s="1937" t="s">
        <v>1880</v>
      </c>
      <c r="C1318" s="1938"/>
      <c r="D1318" s="1939"/>
      <c r="E1318" s="1939"/>
      <c r="F1318" s="1939"/>
      <c r="G1318" s="1939"/>
      <c r="H1318" s="1939"/>
      <c r="I1318" s="1939"/>
      <c r="J1318" s="1939"/>
      <c r="K1318" s="1939"/>
      <c r="L1318" s="1939"/>
      <c r="M1318" s="1939"/>
      <c r="N1318" s="1939"/>
      <c r="O1318" s="1939"/>
      <c r="P1318" s="1939"/>
      <c r="Q1318" s="1939"/>
    </row>
    <row r="1319" spans="1:17">
      <c r="A1319" s="1936">
        <f>'Part VIII-Threshold Criteria'!A225</f>
        <v>0</v>
      </c>
      <c r="B1319" s="1936">
        <f>'Part VIII-Threshold Criteria'!B225</f>
        <v>0</v>
      </c>
      <c r="C1319" s="1936">
        <f>'Part VIII-Threshold Criteria'!C225</f>
        <v>0</v>
      </c>
      <c r="D1319" s="1936">
        <f>'Part VIII-Threshold Criteria'!D225</f>
        <v>0</v>
      </c>
      <c r="E1319" s="1936">
        <f>'Part VIII-Threshold Criteria'!E225</f>
        <v>0</v>
      </c>
      <c r="F1319" s="1936">
        <f>'Part VIII-Threshold Criteria'!F225</f>
        <v>0</v>
      </c>
      <c r="G1319" s="1936">
        <f>'Part VIII-Threshold Criteria'!G225</f>
        <v>0</v>
      </c>
      <c r="H1319" s="1936">
        <f>'Part VIII-Threshold Criteria'!H225</f>
        <v>0</v>
      </c>
      <c r="I1319" s="1936">
        <f>'Part VIII-Threshold Criteria'!I225</f>
        <v>0</v>
      </c>
      <c r="J1319" s="1936">
        <f>'Part VIII-Threshold Criteria'!J225</f>
        <v>0</v>
      </c>
      <c r="K1319" s="1936">
        <f>'Part VIII-Threshold Criteria'!K225</f>
        <v>0</v>
      </c>
      <c r="L1319" s="1936">
        <f>'Part VIII-Threshold Criteria'!L225</f>
        <v>0</v>
      </c>
      <c r="M1319" s="1936">
        <f>'Part VIII-Threshold Criteria'!M225</f>
        <v>0</v>
      </c>
      <c r="N1319" s="1936">
        <f>'Part VIII-Threshold Criteria'!N225</f>
        <v>0</v>
      </c>
      <c r="O1319" s="1936">
        <f>'Part VIII-Threshold Criteria'!O225</f>
        <v>0</v>
      </c>
      <c r="P1319" s="1936">
        <f>'Part VIII-Threshold Criteria'!P225</f>
        <v>0</v>
      </c>
      <c r="Q1319" s="1936">
        <f>'Part VIII-Threshold Criteria'!Q225</f>
        <v>0</v>
      </c>
    </row>
    <row r="1320" spans="1:17">
      <c r="A1320" s="1836"/>
      <c r="B1320" s="1934"/>
      <c r="C1320" s="1939"/>
      <c r="D1320" s="1939"/>
      <c r="E1320" s="1939"/>
      <c r="F1320" s="1939"/>
      <c r="G1320" s="1939"/>
      <c r="H1320" s="1939"/>
      <c r="I1320" s="1939"/>
      <c r="J1320" s="1939"/>
      <c r="K1320" s="1939"/>
      <c r="L1320" s="1939"/>
      <c r="M1320" s="1939"/>
      <c r="Q1320" s="1836"/>
    </row>
    <row r="1321" spans="1:17">
      <c r="A1321" s="1819" t="s">
        <v>1739</v>
      </c>
      <c r="B1321" s="1819" t="s">
        <v>2678</v>
      </c>
      <c r="C1321" s="1969"/>
      <c r="D1321" s="1939"/>
      <c r="E1321" s="1939"/>
      <c r="F1321" s="1939"/>
      <c r="G1321" s="1939"/>
      <c r="H1321" s="1939"/>
      <c r="I1321" s="1939"/>
      <c r="J1321" s="1939"/>
      <c r="K1321" s="1939"/>
      <c r="L1321" s="1939"/>
      <c r="M1321" s="1939"/>
      <c r="O1321" s="1935" t="s">
        <v>1881</v>
      </c>
      <c r="P1321" s="1844">
        <f>'Part VIII-Threshold Criteria'!P227</f>
        <v>0</v>
      </c>
      <c r="Q1321" s="1844">
        <f>'Part VIII-Threshold Criteria'!Q227</f>
        <v>0</v>
      </c>
    </row>
    <row r="1322" spans="1:17">
      <c r="B1322" s="1156" t="s">
        <v>1203</v>
      </c>
      <c r="N1322" s="1824"/>
      <c r="P1322" s="1942" t="str">
        <f>'Part VIII-Threshold Criteria'!P228</f>
        <v>Yes</v>
      </c>
      <c r="Q1322" s="1942">
        <f>'Part VIII-Threshold Criteria'!Q228</f>
        <v>0</v>
      </c>
    </row>
    <row r="1323" spans="1:17">
      <c r="A1323" s="1975" t="s">
        <v>1999</v>
      </c>
      <c r="B1323" s="478" t="s">
        <v>4792</v>
      </c>
      <c r="D1323" s="1629"/>
      <c r="E1323" s="1629"/>
      <c r="F1323" s="1629"/>
      <c r="G1323" s="1629"/>
      <c r="H1323" s="1629"/>
      <c r="I1323" s="1629"/>
      <c r="J1323" s="1629"/>
      <c r="K1323" s="1629"/>
      <c r="L1323" s="1629"/>
      <c r="M1323" s="1629"/>
      <c r="O1323" s="1977" t="s">
        <v>1999</v>
      </c>
      <c r="P1323" s="1942" t="str">
        <f>'Part VIII-Threshold Criteria'!P229</f>
        <v>Agree</v>
      </c>
      <c r="Q1323" s="1942">
        <f>'Part VIII-Threshold Criteria'!Q229</f>
        <v>0</v>
      </c>
    </row>
    <row r="1324" spans="1:17">
      <c r="A1324" s="1975"/>
      <c r="B1324" s="1977" t="s">
        <v>1750</v>
      </c>
      <c r="C1324" s="478" t="s">
        <v>1946</v>
      </c>
      <c r="E1324" s="478"/>
      <c r="F1324" s="478"/>
      <c r="G1324" s="478"/>
      <c r="H1324" s="478"/>
      <c r="I1324" s="1629"/>
      <c r="J1324" s="1977" t="s">
        <v>1498</v>
      </c>
      <c r="K1324" s="1933" t="str">
        <f>'Part VIII-Threshold Criteria'!K230</f>
        <v>Building</v>
      </c>
      <c r="L1324" s="1933">
        <f>'Part VIII-Threshold Criteria'!L230</f>
        <v>0</v>
      </c>
      <c r="Q1324" s="1942">
        <f>'Part VIII-Threshold Criteria'!Q230</f>
        <v>0</v>
      </c>
    </row>
    <row r="1325" spans="1:17" ht="13.5">
      <c r="A1325" s="1975"/>
      <c r="B1325" s="1977" t="s">
        <v>1751</v>
      </c>
      <c r="C1325" s="1872" t="s">
        <v>2741</v>
      </c>
      <c r="E1325" s="1872"/>
      <c r="F1325" s="1872"/>
      <c r="G1325" s="1872"/>
      <c r="H1325" s="1872"/>
      <c r="I1325" s="1629"/>
      <c r="J1325" s="1977" t="s">
        <v>1499</v>
      </c>
      <c r="K1325" s="1933" t="str">
        <f>'Part VIII-Threshold Criteria'!K231</f>
        <v>Covered Porch</v>
      </c>
      <c r="L1325" s="1933">
        <f>'Part VIII-Threshold Criteria'!L231</f>
        <v>0</v>
      </c>
      <c r="M1325" s="2000" t="str">
        <f>'Part VIII-Threshold Criteria'!M231</f>
        <v>If "Other", explain here</v>
      </c>
      <c r="N1325" s="2000">
        <f>'Part VIII-Threshold Criteria'!N231</f>
        <v>0</v>
      </c>
      <c r="O1325" s="2000">
        <f>'Part VIII-Threshold Criteria'!O231</f>
        <v>0</v>
      </c>
      <c r="P1325" s="2000">
        <f>'Part VIII-Threshold Criteria'!P231</f>
        <v>0</v>
      </c>
      <c r="Q1325" s="1942">
        <f>'Part VIII-Threshold Criteria'!Q231</f>
        <v>0</v>
      </c>
    </row>
    <row r="1326" spans="1:17">
      <c r="A1326" s="1975"/>
      <c r="B1326" s="1977" t="s">
        <v>1752</v>
      </c>
      <c r="C1326" s="1872" t="s">
        <v>563</v>
      </c>
      <c r="E1326" s="1872"/>
      <c r="F1326" s="1872"/>
      <c r="G1326" s="1872"/>
      <c r="H1326" s="1872"/>
      <c r="I1326" s="1629"/>
      <c r="J1326" s="1977" t="s">
        <v>1500</v>
      </c>
      <c r="K1326" s="1933" t="str">
        <f>'Part VIII-Threshold Criteria'!K232</f>
        <v>On-site laundry</v>
      </c>
      <c r="L1326" s="1933">
        <f>'Part VIII-Threshold Criteria'!L232</f>
        <v>0</v>
      </c>
      <c r="M1326" s="1933">
        <f>'Part VIII-Threshold Criteria'!M232</f>
        <v>0</v>
      </c>
      <c r="Q1326" s="1942">
        <f>'Part VIII-Threshold Criteria'!Q232</f>
        <v>0</v>
      </c>
    </row>
    <row r="1327" spans="1:17">
      <c r="A1327" s="1975" t="s">
        <v>2001</v>
      </c>
      <c r="B1327" s="478" t="s">
        <v>2526</v>
      </c>
      <c r="D1327" s="478"/>
      <c r="E1327" s="478"/>
      <c r="F1327" s="478"/>
      <c r="G1327" s="478"/>
      <c r="H1327" s="478"/>
      <c r="I1327" s="478"/>
      <c r="J1327" s="478"/>
      <c r="K1327" s="1629"/>
      <c r="L1327" s="1629"/>
      <c r="M1327" s="1629"/>
      <c r="N1327" s="1629"/>
      <c r="O1327" s="1977" t="s">
        <v>2001</v>
      </c>
      <c r="P1327" s="1942" t="str">
        <f>'Part VIII-Threshold Criteria'!P233</f>
        <v>Agree</v>
      </c>
      <c r="Q1327" s="1942">
        <f>'Part VIII-Threshold Criteria'!Q233</f>
        <v>0</v>
      </c>
    </row>
    <row r="1328" spans="1:17">
      <c r="A1328" s="1975"/>
      <c r="B1328" s="478" t="s">
        <v>4793</v>
      </c>
      <c r="D1328" s="478"/>
      <c r="E1328" s="478"/>
      <c r="F1328" s="478"/>
      <c r="G1328" s="478"/>
      <c r="H1328" s="478"/>
      <c r="I1328" s="478"/>
      <c r="J1328" s="478"/>
      <c r="K1328" s="1629"/>
      <c r="L1328" s="1629"/>
      <c r="M1328" s="1629"/>
      <c r="N1328" s="1629"/>
      <c r="O1328" s="1629"/>
      <c r="P1328" s="1999" t="s">
        <v>2</v>
      </c>
      <c r="Q1328" s="1999"/>
    </row>
    <row r="1329" spans="1:17">
      <c r="A1329" s="1975"/>
      <c r="C1329" s="478" t="s">
        <v>2743</v>
      </c>
      <c r="D1329" s="478"/>
      <c r="E1329" s="478"/>
      <c r="F1329" s="478"/>
      <c r="H1329" s="2001" t="s">
        <v>781</v>
      </c>
      <c r="I1329" s="1631" t="s">
        <v>782</v>
      </c>
      <c r="K1329" s="478" t="s">
        <v>2743</v>
      </c>
      <c r="M1329" s="1629"/>
      <c r="N1329" s="1629"/>
      <c r="O1329" s="2001"/>
      <c r="P1329" s="1689" t="s">
        <v>781</v>
      </c>
      <c r="Q1329" s="1631" t="s">
        <v>782</v>
      </c>
    </row>
    <row r="1330" spans="1:17" ht="45">
      <c r="A1330" s="1942"/>
      <c r="B1330" s="1977" t="s">
        <v>1750</v>
      </c>
      <c r="C1330" s="1936" t="str">
        <f>'Part VIII-Threshold Criteria'!C236</f>
        <v>Equipped Computer Center</v>
      </c>
      <c r="D1330" s="1936">
        <f>'Part VIII-Threshold Criteria'!D236</f>
        <v>0</v>
      </c>
      <c r="E1330" s="1936">
        <f>'Part VIII-Threshold Criteria'!E236</f>
        <v>0</v>
      </c>
      <c r="F1330" s="1936">
        <f>'Part VIII-Threshold Criteria'!F236</f>
        <v>0</v>
      </c>
      <c r="G1330" s="1936">
        <f>'Part VIII-Threshold Criteria'!G236</f>
        <v>0</v>
      </c>
      <c r="H1330" s="1942">
        <f>'Part VIII-Threshold Criteria'!H236</f>
        <v>0</v>
      </c>
      <c r="I1330" s="1942">
        <f>'Part VIII-Threshold Criteria'!I236</f>
        <v>0</v>
      </c>
      <c r="J1330" s="1977" t="s">
        <v>1752</v>
      </c>
      <c r="K1330" s="1936" t="str">
        <f>'Part VIII-Threshold Criteria'!K236</f>
        <v xml:space="preserve">  Furnished Arts &amp; Crafts/Activity Room</v>
      </c>
      <c r="L1330" s="1936">
        <f>'Part VIII-Threshold Criteria'!L236</f>
        <v>0</v>
      </c>
      <c r="M1330" s="1936">
        <f>'Part VIII-Threshold Criteria'!M236</f>
        <v>0</v>
      </c>
      <c r="N1330" s="1936">
        <f>'Part VIII-Threshold Criteria'!N236</f>
        <v>0</v>
      </c>
      <c r="O1330" s="1936">
        <f>'Part VIII-Threshold Criteria'!O236</f>
        <v>0</v>
      </c>
      <c r="P1330" s="1942">
        <f>'Part VIII-Threshold Criteria'!P236</f>
        <v>0</v>
      </c>
      <c r="Q1330" s="1942">
        <f>'Part VIII-Threshold Criteria'!Q236</f>
        <v>0</v>
      </c>
    </row>
    <row r="1331" spans="1:17" ht="33.75">
      <c r="A1331" s="1942"/>
      <c r="B1331" s="1977" t="s">
        <v>1751</v>
      </c>
      <c r="C1331" s="1936" t="str">
        <f>'Part VIII-Threshold Criteria'!C237</f>
        <v>Equipped Fitness Center</v>
      </c>
      <c r="D1331" s="1936">
        <f>'Part VIII-Threshold Criteria'!D237</f>
        <v>0</v>
      </c>
      <c r="E1331" s="1936">
        <f>'Part VIII-Threshold Criteria'!E237</f>
        <v>0</v>
      </c>
      <c r="F1331" s="1936">
        <f>'Part VIII-Threshold Criteria'!F237</f>
        <v>0</v>
      </c>
      <c r="G1331" s="1936">
        <f>'Part VIII-Threshold Criteria'!G237</f>
        <v>0</v>
      </c>
      <c r="H1331" s="1942">
        <f>'Part VIII-Threshold Criteria'!H237</f>
        <v>0</v>
      </c>
      <c r="I1331" s="1942">
        <f>'Part VIII-Threshold Criteria'!I237</f>
        <v>0</v>
      </c>
      <c r="J1331" s="1977" t="s">
        <v>2381</v>
      </c>
      <c r="K1331" s="1936" t="str">
        <f>'Part VIII-Threshold Criteria'!K237</f>
        <v>Wellness Room</v>
      </c>
      <c r="L1331" s="1936">
        <f>'Part VIII-Threshold Criteria'!L237</f>
        <v>0</v>
      </c>
      <c r="M1331" s="1936">
        <f>'Part VIII-Threshold Criteria'!M237</f>
        <v>0</v>
      </c>
      <c r="N1331" s="1936">
        <f>'Part VIII-Threshold Criteria'!N237</f>
        <v>0</v>
      </c>
      <c r="O1331" s="1936">
        <f>'Part VIII-Threshold Criteria'!O237</f>
        <v>0</v>
      </c>
      <c r="P1331" s="1942">
        <f>'Part VIII-Threshold Criteria'!P237</f>
        <v>0</v>
      </c>
      <c r="Q1331" s="1942">
        <f>'Part VIII-Threshold Criteria'!Q237</f>
        <v>0</v>
      </c>
    </row>
    <row r="1332" spans="1:17">
      <c r="A1332" s="1975" t="s">
        <v>757</v>
      </c>
      <c r="B1332" s="478" t="s">
        <v>1393</v>
      </c>
      <c r="C1332" s="478"/>
      <c r="E1332" s="478"/>
      <c r="F1332" s="478"/>
      <c r="G1332" s="478"/>
      <c r="H1332" s="478"/>
      <c r="I1332" s="478"/>
      <c r="J1332" s="478"/>
      <c r="K1332" s="1629"/>
      <c r="L1332" s="478"/>
      <c r="M1332" s="478"/>
      <c r="O1332" s="1977" t="s">
        <v>757</v>
      </c>
      <c r="P1332" s="1942" t="str">
        <f>'Part VIII-Threshold Criteria'!P238</f>
        <v>Agree</v>
      </c>
      <c r="Q1332" s="1942">
        <f>'Part VIII-Threshold Criteria'!Q238</f>
        <v>0</v>
      </c>
    </row>
    <row r="1333" spans="1:17">
      <c r="A1333" s="1975"/>
      <c r="B1333" s="1977" t="s">
        <v>1750</v>
      </c>
      <c r="C1333" s="478" t="s">
        <v>3487</v>
      </c>
      <c r="E1333" s="478"/>
      <c r="F1333" s="478"/>
      <c r="L1333" s="1629"/>
      <c r="M1333" s="1629"/>
      <c r="O1333" s="1977" t="s">
        <v>1750</v>
      </c>
      <c r="P1333" s="1942" t="str">
        <f>'Part VIII-Threshold Criteria'!P239</f>
        <v>Yes</v>
      </c>
      <c r="Q1333" s="1942">
        <f>'Part VIII-Threshold Criteria'!Q239</f>
        <v>0</v>
      </c>
    </row>
    <row r="1334" spans="1:17">
      <c r="B1334" s="1977" t="s">
        <v>1751</v>
      </c>
      <c r="C1334" s="1872" t="s">
        <v>2826</v>
      </c>
      <c r="E1334" s="1872"/>
      <c r="F1334" s="1872"/>
      <c r="L1334" s="1629"/>
      <c r="M1334" s="1629"/>
      <c r="O1334" s="1977" t="s">
        <v>1751</v>
      </c>
      <c r="P1334" s="1942" t="str">
        <f>'Part VIII-Threshold Criteria'!P240</f>
        <v>Yes</v>
      </c>
      <c r="Q1334" s="1942">
        <f>'Part VIII-Threshold Criteria'!Q240</f>
        <v>0</v>
      </c>
    </row>
    <row r="1335" spans="1:17">
      <c r="B1335" s="1977" t="s">
        <v>1752</v>
      </c>
      <c r="C1335" s="1872" t="s">
        <v>2827</v>
      </c>
      <c r="E1335" s="1872"/>
      <c r="F1335" s="1872"/>
      <c r="G1335" s="1872"/>
      <c r="H1335" s="1872"/>
      <c r="I1335" s="1629"/>
      <c r="J1335" s="1629"/>
      <c r="K1335" s="1629"/>
      <c r="L1335" s="1629"/>
      <c r="M1335" s="1629"/>
      <c r="O1335" s="1977" t="s">
        <v>1752</v>
      </c>
      <c r="P1335" s="1942" t="str">
        <f>'Part VIII-Threshold Criteria'!P241</f>
        <v>Yes</v>
      </c>
      <c r="Q1335" s="1942">
        <f>'Part VIII-Threshold Criteria'!Q241</f>
        <v>0</v>
      </c>
    </row>
    <row r="1336" spans="1:17">
      <c r="A1336" s="1975"/>
      <c r="B1336" s="1977" t="s">
        <v>2381</v>
      </c>
      <c r="C1336" s="1872" t="s">
        <v>2828</v>
      </c>
      <c r="E1336" s="1872"/>
      <c r="F1336" s="1872"/>
      <c r="G1336" s="1872"/>
      <c r="H1336" s="1872"/>
      <c r="I1336" s="1629"/>
      <c r="J1336" s="1629"/>
      <c r="K1336" s="1629"/>
      <c r="L1336" s="1629"/>
      <c r="M1336" s="1629"/>
      <c r="O1336" s="1977" t="s">
        <v>2381</v>
      </c>
      <c r="P1336" s="1942" t="str">
        <f>'Part VIII-Threshold Criteria'!P242</f>
        <v>Yes</v>
      </c>
      <c r="Q1336" s="1942">
        <f>'Part VIII-Threshold Criteria'!Q242</f>
        <v>0</v>
      </c>
    </row>
    <row r="1337" spans="1:17">
      <c r="A1337" s="1975"/>
      <c r="B1337" s="1977" t="s">
        <v>1561</v>
      </c>
      <c r="C1337" s="1872" t="s">
        <v>2829</v>
      </c>
      <c r="E1337" s="1872"/>
      <c r="F1337" s="1872"/>
      <c r="G1337" s="1872"/>
      <c r="H1337" s="1872"/>
      <c r="I1337" s="1629"/>
      <c r="J1337" s="1629"/>
      <c r="K1337" s="1629"/>
      <c r="L1337" s="1629"/>
      <c r="M1337" s="1629"/>
      <c r="O1337" s="1977" t="s">
        <v>1561</v>
      </c>
      <c r="P1337" s="1942" t="str">
        <f>'Part VIII-Threshold Criteria'!P243</f>
        <v>Yes</v>
      </c>
      <c r="Q1337" s="1942">
        <f>'Part VIII-Threshold Criteria'!Q243</f>
        <v>0</v>
      </c>
    </row>
    <row r="1338" spans="1:17">
      <c r="A1338" s="1975"/>
      <c r="B1338" s="1977" t="s">
        <v>1562</v>
      </c>
      <c r="C1338" s="478" t="s">
        <v>783</v>
      </c>
      <c r="E1338" s="478"/>
      <c r="F1338" s="478"/>
      <c r="G1338" s="478"/>
      <c r="H1338" s="478"/>
      <c r="I1338" s="1629"/>
      <c r="J1338" s="1629"/>
      <c r="K1338" s="1629"/>
      <c r="L1338" s="1629"/>
      <c r="M1338" s="1629"/>
      <c r="O1338" s="1977" t="s">
        <v>2817</v>
      </c>
      <c r="P1338" s="1942" t="str">
        <f>'Part VIII-Threshold Criteria'!P244</f>
        <v>Yes</v>
      </c>
      <c r="Q1338" s="1942">
        <f>'Part VIII-Threshold Criteria'!Q244</f>
        <v>0</v>
      </c>
    </row>
    <row r="1339" spans="1:17">
      <c r="A1339" s="1975"/>
      <c r="B1339" s="1977"/>
      <c r="C1339" s="478" t="s">
        <v>1501</v>
      </c>
      <c r="E1339" s="478"/>
      <c r="F1339" s="478"/>
      <c r="G1339" s="478"/>
      <c r="H1339" s="478"/>
      <c r="I1339" s="1629"/>
      <c r="J1339" s="1629"/>
      <c r="K1339" s="1629"/>
      <c r="L1339" s="1629"/>
      <c r="M1339" s="1629"/>
      <c r="O1339" s="1977" t="s">
        <v>2818</v>
      </c>
      <c r="P1339" s="1942">
        <f>'Part VIII-Threshold Criteria'!P245</f>
        <v>0</v>
      </c>
      <c r="Q1339" s="1942">
        <f>'Part VIII-Threshold Criteria'!Q245</f>
        <v>0</v>
      </c>
    </row>
    <row r="1340" spans="1:17">
      <c r="A1340" s="1975" t="s">
        <v>2131</v>
      </c>
      <c r="B1340" s="478" t="s">
        <v>3689</v>
      </c>
      <c r="C1340" s="478"/>
      <c r="E1340" s="478"/>
      <c r="F1340" s="478"/>
      <c r="G1340" s="478"/>
      <c r="H1340" s="478"/>
      <c r="I1340" s="478"/>
      <c r="J1340" s="478"/>
      <c r="K1340" s="1629"/>
      <c r="L1340" s="478"/>
      <c r="M1340" s="478"/>
      <c r="O1340" s="1977" t="s">
        <v>2131</v>
      </c>
      <c r="P1340" s="1942" t="str">
        <f>'Part VIII-Threshold Criteria'!P246</f>
        <v>N/A</v>
      </c>
      <c r="Q1340" s="1942">
        <f>'Part VIII-Threshold Criteria'!Q246</f>
        <v>0</v>
      </c>
    </row>
    <row r="1341" spans="1:17">
      <c r="B1341" s="1977" t="s">
        <v>1750</v>
      </c>
      <c r="C1341" s="478" t="s">
        <v>1267</v>
      </c>
      <c r="E1341" s="1629"/>
      <c r="F1341" s="1629"/>
      <c r="G1341" s="478"/>
      <c r="H1341" s="1872"/>
      <c r="I1341" s="1629"/>
      <c r="J1341" s="1872"/>
      <c r="K1341" s="1629"/>
      <c r="L1341" s="1872"/>
      <c r="M1341" s="1872"/>
      <c r="O1341" s="1977" t="s">
        <v>1750</v>
      </c>
      <c r="P1341" s="1942">
        <f>'Part VIII-Threshold Criteria'!P247</f>
        <v>0</v>
      </c>
      <c r="Q1341" s="1942">
        <f>'Part VIII-Threshold Criteria'!Q247</f>
        <v>0</v>
      </c>
    </row>
    <row r="1342" spans="1:17">
      <c r="B1342" s="1977" t="s">
        <v>1751</v>
      </c>
      <c r="C1342" s="478" t="s">
        <v>3936</v>
      </c>
      <c r="E1342" s="1629"/>
      <c r="F1342" s="1629"/>
      <c r="G1342" s="1872"/>
      <c r="H1342" s="1872"/>
      <c r="I1342" s="1629"/>
      <c r="J1342" s="1872"/>
      <c r="K1342" s="1629"/>
      <c r="L1342" s="1872"/>
      <c r="M1342" s="1872"/>
      <c r="O1342" s="1977" t="s">
        <v>1751</v>
      </c>
      <c r="P1342" s="1942">
        <f>'Part VIII-Threshold Criteria'!P248</f>
        <v>0</v>
      </c>
      <c r="Q1342" s="1942">
        <f>'Part VIII-Threshold Criteria'!Q248</f>
        <v>0</v>
      </c>
    </row>
    <row r="1343" spans="1:17">
      <c r="B1343" s="1873" t="s">
        <v>3779</v>
      </c>
      <c r="D1343" s="1873"/>
      <c r="E1343" s="1873"/>
      <c r="F1343" s="1873"/>
      <c r="G1343" s="1873"/>
      <c r="H1343" s="1872"/>
      <c r="I1343" s="1934"/>
      <c r="J1343" s="1934"/>
      <c r="K1343" s="1934"/>
      <c r="L1343" s="1836"/>
      <c r="M1343" s="1836"/>
      <c r="N1343" s="1836"/>
      <c r="O1343" s="1836"/>
      <c r="P1343" s="1836"/>
      <c r="Q1343" s="1836"/>
    </row>
    <row r="1344" spans="1:17" ht="409.5">
      <c r="A1344" s="1936" t="str">
        <f>'Part VIII-Threshold Criteria'!A250</f>
        <v xml:space="preserve">Tindall Fields III meets Threshold approval for all site and unit amenities because Tindall Fields III will comply with all the DCA requirements noted above; reference is made to our Conceptual Site Plan at Tab 15-01 showing the specific amenities as supporting documentation. Please note that by letter dated March 31, 2016 we have DCA’s permission that allows the Community Center (currently under construction as part of Tindall Fields I (DCA 16-043) to serve not only that phase but also Tindall Fields II (DCA 17-028) and this Phase as well.  Please see Tab 13-02 for this documentation.  Since the total number of units for these three phases will be 194 units, we list four amenities above. Furthermore, please note that by letter dated December 1, 2017 we also received DCA’s permission to substitute a Wellness room for the previously-approved walking path.  This documentation is also found at Tab 13-02. This will further confirm that our first phase, Tindall Seniors Towers (DCA 15-037), has separate community facilities exclusively for those senior residents. </v>
      </c>
      <c r="B1344" s="1936">
        <f>'Part VIII-Threshold Criteria'!B250</f>
        <v>0</v>
      </c>
      <c r="C1344" s="1936">
        <f>'Part VIII-Threshold Criteria'!C250</f>
        <v>0</v>
      </c>
      <c r="D1344" s="1936">
        <f>'Part VIII-Threshold Criteria'!D250</f>
        <v>0</v>
      </c>
      <c r="E1344" s="1936">
        <f>'Part VIII-Threshold Criteria'!E250</f>
        <v>0</v>
      </c>
      <c r="F1344" s="1936">
        <f>'Part VIII-Threshold Criteria'!F250</f>
        <v>0</v>
      </c>
      <c r="G1344" s="1936">
        <f>'Part VIII-Threshold Criteria'!G250</f>
        <v>0</v>
      </c>
      <c r="H1344" s="1936">
        <f>'Part VIII-Threshold Criteria'!H250</f>
        <v>0</v>
      </c>
      <c r="I1344" s="1936">
        <f>'Part VIII-Threshold Criteria'!I250</f>
        <v>0</v>
      </c>
      <c r="J1344" s="1936">
        <f>'Part VIII-Threshold Criteria'!J250</f>
        <v>0</v>
      </c>
      <c r="K1344" s="1936">
        <f>'Part VIII-Threshold Criteria'!K250</f>
        <v>0</v>
      </c>
      <c r="L1344" s="1936">
        <f>'Part VIII-Threshold Criteria'!L250</f>
        <v>0</v>
      </c>
      <c r="M1344" s="1936">
        <f>'Part VIII-Threshold Criteria'!M250</f>
        <v>0</v>
      </c>
      <c r="N1344" s="1936">
        <f>'Part VIII-Threshold Criteria'!N250</f>
        <v>0</v>
      </c>
      <c r="O1344" s="1936">
        <f>'Part VIII-Threshold Criteria'!O250</f>
        <v>0</v>
      </c>
      <c r="P1344" s="1936">
        <f>'Part VIII-Threshold Criteria'!P250</f>
        <v>0</v>
      </c>
      <c r="Q1344" s="1936">
        <f>'Part VIII-Threshold Criteria'!Q250</f>
        <v>0</v>
      </c>
    </row>
    <row r="1345" spans="1:17">
      <c r="B1345" s="1937" t="s">
        <v>1880</v>
      </c>
      <c r="C1345" s="1938"/>
      <c r="D1345" s="1939"/>
      <c r="E1345" s="1939"/>
      <c r="F1345" s="1939"/>
      <c r="G1345" s="1939"/>
      <c r="H1345" s="1939"/>
      <c r="I1345" s="1939"/>
      <c r="J1345" s="1939"/>
      <c r="K1345" s="1939"/>
      <c r="L1345" s="1939"/>
      <c r="M1345" s="1939"/>
      <c r="N1345" s="1939"/>
      <c r="O1345" s="1939"/>
      <c r="P1345" s="1939"/>
      <c r="Q1345" s="1939"/>
    </row>
    <row r="1346" spans="1:17">
      <c r="A1346" s="1936">
        <f>'Part VIII-Threshold Criteria'!A252</f>
        <v>0</v>
      </c>
      <c r="B1346" s="1936">
        <f>'Part VIII-Threshold Criteria'!B252</f>
        <v>0</v>
      </c>
      <c r="C1346" s="1936">
        <f>'Part VIII-Threshold Criteria'!C252</f>
        <v>0</v>
      </c>
      <c r="D1346" s="1936">
        <f>'Part VIII-Threshold Criteria'!D252</f>
        <v>0</v>
      </c>
      <c r="E1346" s="1936">
        <f>'Part VIII-Threshold Criteria'!E252</f>
        <v>0</v>
      </c>
      <c r="F1346" s="1936">
        <f>'Part VIII-Threshold Criteria'!F252</f>
        <v>0</v>
      </c>
      <c r="G1346" s="1936">
        <f>'Part VIII-Threshold Criteria'!G252</f>
        <v>0</v>
      </c>
      <c r="H1346" s="1936">
        <f>'Part VIII-Threshold Criteria'!H252</f>
        <v>0</v>
      </c>
      <c r="I1346" s="1936">
        <f>'Part VIII-Threshold Criteria'!I252</f>
        <v>0</v>
      </c>
      <c r="J1346" s="1936">
        <f>'Part VIII-Threshold Criteria'!J252</f>
        <v>0</v>
      </c>
      <c r="K1346" s="1936">
        <f>'Part VIII-Threshold Criteria'!K252</f>
        <v>0</v>
      </c>
      <c r="L1346" s="1936">
        <f>'Part VIII-Threshold Criteria'!L252</f>
        <v>0</v>
      </c>
      <c r="M1346" s="1936">
        <f>'Part VIII-Threshold Criteria'!M252</f>
        <v>0</v>
      </c>
      <c r="N1346" s="1936">
        <f>'Part VIII-Threshold Criteria'!N252</f>
        <v>0</v>
      </c>
      <c r="O1346" s="1936">
        <f>'Part VIII-Threshold Criteria'!O252</f>
        <v>0</v>
      </c>
      <c r="P1346" s="1936">
        <f>'Part VIII-Threshold Criteria'!P252</f>
        <v>0</v>
      </c>
      <c r="Q1346" s="1936">
        <f>'Part VIII-Threshold Criteria'!Q252</f>
        <v>0</v>
      </c>
    </row>
    <row r="1347" spans="1:17">
      <c r="A1347" s="1836"/>
      <c r="B1347" s="1934"/>
      <c r="C1347" s="1939"/>
      <c r="D1347" s="1939"/>
      <c r="E1347" s="1939"/>
      <c r="F1347" s="1939"/>
      <c r="G1347" s="1939"/>
      <c r="H1347" s="1939"/>
      <c r="I1347" s="1939"/>
      <c r="J1347" s="1939"/>
      <c r="K1347" s="1939"/>
      <c r="L1347" s="1939"/>
      <c r="M1347" s="1939"/>
      <c r="Q1347" s="1836"/>
    </row>
    <row r="1348" spans="1:17">
      <c r="A1348" s="1819" t="s">
        <v>2800</v>
      </c>
      <c r="B1348" s="1818" t="s">
        <v>2679</v>
      </c>
      <c r="C1348" s="1818"/>
      <c r="D1348" s="1933"/>
      <c r="E1348" s="1933"/>
      <c r="F1348" s="1933"/>
      <c r="G1348" s="1933"/>
      <c r="H1348" s="1939"/>
      <c r="I1348" s="1939"/>
      <c r="J1348" s="1939"/>
      <c r="K1348" s="1939"/>
      <c r="L1348" s="1906"/>
      <c r="M1348" s="1906"/>
      <c r="O1348" s="1935" t="s">
        <v>1881</v>
      </c>
      <c r="P1348" s="1844">
        <f>'Part VIII-Threshold Criteria'!P254</f>
        <v>0</v>
      </c>
      <c r="Q1348" s="1844">
        <f>'Part VIII-Threshold Criteria'!Q254</f>
        <v>0</v>
      </c>
    </row>
    <row r="1349" spans="1:17">
      <c r="L1349" s="1906"/>
      <c r="M1349" s="1906"/>
      <c r="N1349" s="1156"/>
    </row>
    <row r="1350" spans="1:17">
      <c r="A1350" s="1975" t="s">
        <v>1999</v>
      </c>
      <c r="B1350" s="478" t="s">
        <v>1280</v>
      </c>
      <c r="D1350" s="1629"/>
      <c r="E1350" s="478"/>
      <c r="F1350" s="478"/>
      <c r="J1350" s="1977" t="s">
        <v>1999</v>
      </c>
      <c r="K1350" s="1933" t="str">
        <f>'Part VIII-Threshold Criteria'!K256</f>
        <v>&lt;&lt;Select&gt;&gt;</v>
      </c>
      <c r="L1350" s="1933">
        <f>'Part VIII-Threshold Criteria'!L256</f>
        <v>0</v>
      </c>
      <c r="M1350" s="1933">
        <f>'Part VIII-Threshold Criteria'!M256</f>
        <v>0</v>
      </c>
      <c r="N1350" s="1933">
        <f>'Part VIII-Threshold Criteria'!N256</f>
        <v>0</v>
      </c>
      <c r="O1350" s="1933">
        <f>'Part VIII-Threshold Criteria'!O256</f>
        <v>0</v>
      </c>
      <c r="P1350" s="1933" t="str">
        <f>'Part VIII-Threshold Criteria'!P256</f>
        <v>&lt;&lt;Select&gt;&gt;</v>
      </c>
      <c r="Q1350" s="1933">
        <f>'Part VIII-Threshold Criteria'!Q256</f>
        <v>0</v>
      </c>
    </row>
    <row r="1351" spans="1:17">
      <c r="A1351" s="1975" t="s">
        <v>2001</v>
      </c>
      <c r="B1351" s="478" t="s">
        <v>2830</v>
      </c>
      <c r="D1351" s="478"/>
      <c r="E1351" s="478"/>
      <c r="F1351" s="478"/>
      <c r="J1351" s="1977" t="s">
        <v>2001</v>
      </c>
      <c r="K1351" s="1933">
        <f>'Part VIII-Threshold Criteria'!K257</f>
        <v>0</v>
      </c>
      <c r="L1351" s="1933">
        <f>'Part VIII-Threshold Criteria'!L257</f>
        <v>0</v>
      </c>
      <c r="M1351" s="1933">
        <f>'Part VIII-Threshold Criteria'!M257</f>
        <v>0</v>
      </c>
      <c r="N1351" s="1933">
        <f>'Part VIII-Threshold Criteria'!N257</f>
        <v>0</v>
      </c>
      <c r="O1351" s="1933">
        <f>'Part VIII-Threshold Criteria'!O257</f>
        <v>0</v>
      </c>
      <c r="P1351" s="1933">
        <f>'Part VIII-Threshold Criteria'!P257</f>
        <v>0</v>
      </c>
      <c r="Q1351" s="1933">
        <f>'Part VIII-Threshold Criteria'!Q257</f>
        <v>0</v>
      </c>
    </row>
    <row r="1352" spans="1:17">
      <c r="A1352" s="1975"/>
      <c r="B1352" s="478" t="s">
        <v>1960</v>
      </c>
      <c r="D1352" s="478"/>
      <c r="E1352" s="478"/>
      <c r="F1352" s="478"/>
      <c r="K1352" s="1933">
        <f>'Part VIII-Threshold Criteria'!K258</f>
        <v>0</v>
      </c>
      <c r="L1352" s="1933">
        <f>'Part VIII-Threshold Criteria'!L258</f>
        <v>0</v>
      </c>
      <c r="M1352" s="1933">
        <f>'Part VIII-Threshold Criteria'!M258</f>
        <v>0</v>
      </c>
      <c r="N1352" s="1933">
        <f>'Part VIII-Threshold Criteria'!N258</f>
        <v>0</v>
      </c>
      <c r="O1352" s="1933">
        <f>'Part VIII-Threshold Criteria'!O258</f>
        <v>0</v>
      </c>
      <c r="P1352" s="1933">
        <f>'Part VIII-Threshold Criteria'!P258</f>
        <v>0</v>
      </c>
      <c r="Q1352" s="1933">
        <f>'Part VIII-Threshold Criteria'!Q258</f>
        <v>0</v>
      </c>
    </row>
    <row r="1353" spans="1:17">
      <c r="A1353" s="1975"/>
      <c r="B1353" s="478" t="s">
        <v>2560</v>
      </c>
      <c r="D1353" s="478"/>
      <c r="E1353" s="478"/>
      <c r="F1353" s="478"/>
      <c r="G1353" s="478"/>
      <c r="H1353" s="478"/>
      <c r="I1353" s="1629"/>
      <c r="J1353" s="1629"/>
      <c r="M1353" s="478"/>
      <c r="N1353" s="2002"/>
      <c r="O1353" s="1977"/>
      <c r="P1353" s="1942">
        <f>'Part VIII-Threshold Criteria'!P259</f>
        <v>0</v>
      </c>
      <c r="Q1353" s="1942">
        <f>'Part VIII-Threshold Criteria'!Q259</f>
        <v>0</v>
      </c>
    </row>
    <row r="1354" spans="1:17">
      <c r="A1354" s="1975" t="s">
        <v>757</v>
      </c>
      <c r="B1354" s="478" t="s">
        <v>3786</v>
      </c>
      <c r="D1354" s="478"/>
      <c r="E1354" s="478"/>
      <c r="F1354" s="478"/>
      <c r="M1354" s="478"/>
      <c r="N1354" s="2002"/>
      <c r="O1354" s="1977" t="s">
        <v>757</v>
      </c>
      <c r="P1354" s="1942">
        <f>'Part VIII-Threshold Criteria'!P260</f>
        <v>0</v>
      </c>
      <c r="Q1354" s="1942">
        <f>'Part VIII-Threshold Criteria'!Q260</f>
        <v>0</v>
      </c>
    </row>
    <row r="1355" spans="1:17">
      <c r="A1355" s="1975"/>
      <c r="B1355" s="478" t="s">
        <v>3785</v>
      </c>
      <c r="D1355" s="478"/>
      <c r="E1355" s="478"/>
      <c r="F1355" s="478"/>
      <c r="K1355" s="1933">
        <f>'Part VIII-Threshold Criteria'!K261</f>
        <v>0</v>
      </c>
      <c r="L1355" s="1933">
        <f>'Part VIII-Threshold Criteria'!L261</f>
        <v>0</v>
      </c>
      <c r="M1355" s="1933">
        <f>'Part VIII-Threshold Criteria'!M261</f>
        <v>0</v>
      </c>
      <c r="N1355" s="1933">
        <f>'Part VIII-Threshold Criteria'!N261</f>
        <v>0</v>
      </c>
      <c r="O1355" s="1933">
        <f>'Part VIII-Threshold Criteria'!O261</f>
        <v>0</v>
      </c>
      <c r="P1355" s="1933">
        <f>'Part VIII-Threshold Criteria'!P261</f>
        <v>0</v>
      </c>
      <c r="Q1355" s="1933">
        <f>'Part VIII-Threshold Criteria'!Q261</f>
        <v>0</v>
      </c>
    </row>
    <row r="1356" spans="1:17">
      <c r="A1356" s="1975" t="s">
        <v>2131</v>
      </c>
      <c r="B1356" s="478" t="s">
        <v>3937</v>
      </c>
      <c r="D1356" s="478"/>
      <c r="E1356" s="478"/>
      <c r="F1356" s="478"/>
      <c r="G1356" s="478"/>
      <c r="H1356" s="478"/>
      <c r="I1356" s="1629"/>
      <c r="J1356" s="1629"/>
      <c r="K1356" s="1629"/>
      <c r="M1356" s="478"/>
      <c r="N1356" s="2002"/>
      <c r="O1356" s="1977" t="s">
        <v>2131</v>
      </c>
      <c r="P1356" s="1942">
        <f>'Part VIII-Threshold Criteria'!P262</f>
        <v>0</v>
      </c>
      <c r="Q1356" s="1942">
        <f>'Part VIII-Threshold Criteria'!Q262</f>
        <v>0</v>
      </c>
    </row>
    <row r="1357" spans="1:17" ht="12.75" customHeight="1">
      <c r="A1357" s="1975"/>
      <c r="B1357" s="1936" t="s">
        <v>3787</v>
      </c>
      <c r="C1357" s="1936"/>
      <c r="D1357" s="1936"/>
      <c r="E1357" s="1936"/>
      <c r="F1357" s="1936"/>
      <c r="G1357" s="1936"/>
      <c r="H1357" s="1156" t="s">
        <v>4163</v>
      </c>
      <c r="K1357" s="1629"/>
      <c r="M1357" s="478"/>
      <c r="N1357" s="2002"/>
      <c r="O1357" s="1977" t="s">
        <v>1750</v>
      </c>
      <c r="P1357" s="1942">
        <f>'Part VIII-Threshold Criteria'!P263</f>
        <v>0</v>
      </c>
      <c r="Q1357" s="1942">
        <f>'Part VIII-Threshold Criteria'!Q263</f>
        <v>0</v>
      </c>
    </row>
    <row r="1358" spans="1:17">
      <c r="A1358" s="1975"/>
      <c r="B1358" s="1936"/>
      <c r="C1358" s="1936"/>
      <c r="D1358" s="1936"/>
      <c r="E1358" s="1936"/>
      <c r="F1358" s="1936"/>
      <c r="G1358" s="1936"/>
      <c r="H1358" s="1156" t="s">
        <v>4164</v>
      </c>
      <c r="K1358" s="1629"/>
      <c r="M1358" s="478"/>
      <c r="N1358" s="2002"/>
      <c r="O1358" s="1977" t="s">
        <v>1751</v>
      </c>
      <c r="P1358" s="1942">
        <f>'Part VIII-Threshold Criteria'!P264</f>
        <v>0</v>
      </c>
      <c r="Q1358" s="1942">
        <f>'Part VIII-Threshold Criteria'!Q264</f>
        <v>0</v>
      </c>
    </row>
    <row r="1359" spans="1:17">
      <c r="A1359" s="1975"/>
      <c r="B1359" s="478"/>
      <c r="D1359" s="478"/>
      <c r="E1359" s="478"/>
      <c r="F1359" s="478"/>
      <c r="G1359" s="478"/>
      <c r="H1359" s="1156" t="s">
        <v>4165</v>
      </c>
      <c r="K1359" s="1629"/>
      <c r="M1359" s="478"/>
      <c r="N1359" s="2002"/>
      <c r="O1359" s="1977" t="s">
        <v>1752</v>
      </c>
      <c r="P1359" s="1942">
        <f>'Part VIII-Threshold Criteria'!P265</f>
        <v>0</v>
      </c>
      <c r="Q1359" s="1942">
        <f>'Part VIII-Threshold Criteria'!Q265</f>
        <v>0</v>
      </c>
    </row>
    <row r="1360" spans="1:17">
      <c r="A1360" s="1975"/>
      <c r="B1360" s="478"/>
      <c r="D1360" s="478"/>
      <c r="E1360" s="478"/>
      <c r="F1360" s="478"/>
      <c r="G1360" s="478"/>
      <c r="H1360" s="1156" t="s">
        <v>4166</v>
      </c>
      <c r="K1360" s="1629"/>
      <c r="M1360" s="478"/>
      <c r="N1360" s="2002"/>
      <c r="O1360" s="1977" t="s">
        <v>2381</v>
      </c>
      <c r="P1360" s="1942">
        <f>'Part VIII-Threshold Criteria'!P266</f>
        <v>0</v>
      </c>
      <c r="Q1360" s="1942">
        <f>'Part VIII-Threshold Criteria'!Q266</f>
        <v>0</v>
      </c>
    </row>
    <row r="1361" spans="1:17" ht="12.75" customHeight="1">
      <c r="A1361" s="1973" t="s">
        <v>1748</v>
      </c>
      <c r="B1361" s="1936" t="s">
        <v>4794</v>
      </c>
      <c r="C1361" s="1936"/>
      <c r="D1361" s="1936"/>
      <c r="E1361" s="1936"/>
      <c r="F1361" s="1936"/>
      <c r="G1361" s="1936"/>
      <c r="H1361" s="1936"/>
      <c r="I1361" s="1936"/>
      <c r="J1361" s="1936"/>
      <c r="K1361" s="1936"/>
      <c r="L1361" s="1936"/>
      <c r="M1361" s="1936"/>
      <c r="N1361" s="1936"/>
      <c r="O1361" s="1987" t="s">
        <v>1748</v>
      </c>
      <c r="P1361" s="1988">
        <f>'Part VIII-Threshold Criteria'!P267</f>
        <v>0</v>
      </c>
      <c r="Q1361" s="1988">
        <f>'Part VIII-Threshold Criteria'!Q267</f>
        <v>0</v>
      </c>
    </row>
    <row r="1362" spans="1:17">
      <c r="B1362" s="1873" t="s">
        <v>3779</v>
      </c>
      <c r="D1362" s="1873"/>
      <c r="E1362" s="1873"/>
      <c r="F1362" s="1873"/>
      <c r="G1362" s="1873"/>
      <c r="H1362" s="1872"/>
      <c r="I1362" s="1934"/>
      <c r="J1362" s="1934"/>
      <c r="K1362" s="1934"/>
      <c r="L1362" s="1836"/>
      <c r="M1362" s="1836"/>
      <c r="N1362" s="1836"/>
      <c r="O1362" s="1836"/>
      <c r="P1362" s="1836"/>
      <c r="Q1362" s="1836"/>
    </row>
    <row r="1363" spans="1:17" ht="78.75">
      <c r="A1363" s="1936" t="str">
        <f>'Part VIII-Threshold Criteria'!A269</f>
        <v xml:space="preserve">This section is N/A since Tindall Fields III is new construction. </v>
      </c>
      <c r="B1363" s="1936">
        <f>'Part VIII-Threshold Criteria'!B269</f>
        <v>0</v>
      </c>
      <c r="C1363" s="1936">
        <f>'Part VIII-Threshold Criteria'!C269</f>
        <v>0</v>
      </c>
      <c r="D1363" s="1936">
        <f>'Part VIII-Threshold Criteria'!D269</f>
        <v>0</v>
      </c>
      <c r="E1363" s="1936">
        <f>'Part VIII-Threshold Criteria'!E269</f>
        <v>0</v>
      </c>
      <c r="F1363" s="1936">
        <f>'Part VIII-Threshold Criteria'!F269</f>
        <v>0</v>
      </c>
      <c r="G1363" s="1936">
        <f>'Part VIII-Threshold Criteria'!G269</f>
        <v>0</v>
      </c>
      <c r="H1363" s="1936">
        <f>'Part VIII-Threshold Criteria'!H269</f>
        <v>0</v>
      </c>
      <c r="I1363" s="1936">
        <f>'Part VIII-Threshold Criteria'!I269</f>
        <v>0</v>
      </c>
      <c r="J1363" s="1936">
        <f>'Part VIII-Threshold Criteria'!J269</f>
        <v>0</v>
      </c>
      <c r="K1363" s="1936">
        <f>'Part VIII-Threshold Criteria'!K269</f>
        <v>0</v>
      </c>
      <c r="L1363" s="1936">
        <f>'Part VIII-Threshold Criteria'!L269</f>
        <v>0</v>
      </c>
      <c r="M1363" s="1936">
        <f>'Part VIII-Threshold Criteria'!M269</f>
        <v>0</v>
      </c>
      <c r="N1363" s="1936">
        <f>'Part VIII-Threshold Criteria'!N269</f>
        <v>0</v>
      </c>
      <c r="O1363" s="1936">
        <f>'Part VIII-Threshold Criteria'!O269</f>
        <v>0</v>
      </c>
      <c r="P1363" s="1936">
        <f>'Part VIII-Threshold Criteria'!P269</f>
        <v>0</v>
      </c>
      <c r="Q1363" s="1936">
        <f>'Part VIII-Threshold Criteria'!Q269</f>
        <v>0</v>
      </c>
    </row>
    <row r="1364" spans="1:17">
      <c r="B1364" s="1937" t="s">
        <v>1880</v>
      </c>
      <c r="C1364" s="1938"/>
      <c r="D1364" s="1939"/>
      <c r="E1364" s="1939"/>
      <c r="F1364" s="1939"/>
      <c r="G1364" s="1939"/>
      <c r="H1364" s="1939"/>
      <c r="I1364" s="1939"/>
      <c r="J1364" s="1939"/>
      <c r="K1364" s="1939"/>
      <c r="L1364" s="1939"/>
      <c r="M1364" s="1939"/>
      <c r="N1364" s="1939"/>
      <c r="O1364" s="1939"/>
      <c r="P1364" s="1939"/>
      <c r="Q1364" s="1939"/>
    </row>
    <row r="1365" spans="1:17">
      <c r="A1365" s="1936">
        <f>'Part VIII-Threshold Criteria'!A271</f>
        <v>0</v>
      </c>
      <c r="B1365" s="1936">
        <f>'Part VIII-Threshold Criteria'!B271</f>
        <v>0</v>
      </c>
      <c r="C1365" s="1936">
        <f>'Part VIII-Threshold Criteria'!C271</f>
        <v>0</v>
      </c>
      <c r="D1365" s="1936">
        <f>'Part VIII-Threshold Criteria'!D271</f>
        <v>0</v>
      </c>
      <c r="E1365" s="1936">
        <f>'Part VIII-Threshold Criteria'!E271</f>
        <v>0</v>
      </c>
      <c r="F1365" s="1936">
        <f>'Part VIII-Threshold Criteria'!F271</f>
        <v>0</v>
      </c>
      <c r="G1365" s="1936">
        <f>'Part VIII-Threshold Criteria'!G271</f>
        <v>0</v>
      </c>
      <c r="H1365" s="1936">
        <f>'Part VIII-Threshold Criteria'!H271</f>
        <v>0</v>
      </c>
      <c r="I1365" s="1936">
        <f>'Part VIII-Threshold Criteria'!I271</f>
        <v>0</v>
      </c>
      <c r="J1365" s="1936">
        <f>'Part VIII-Threshold Criteria'!J271</f>
        <v>0</v>
      </c>
      <c r="K1365" s="1936">
        <f>'Part VIII-Threshold Criteria'!K271</f>
        <v>0</v>
      </c>
      <c r="L1365" s="1936">
        <f>'Part VIII-Threshold Criteria'!L271</f>
        <v>0</v>
      </c>
      <c r="M1365" s="1936">
        <f>'Part VIII-Threshold Criteria'!M271</f>
        <v>0</v>
      </c>
      <c r="N1365" s="1936">
        <f>'Part VIII-Threshold Criteria'!N271</f>
        <v>0</v>
      </c>
      <c r="O1365" s="1936">
        <f>'Part VIII-Threshold Criteria'!O271</f>
        <v>0</v>
      </c>
      <c r="P1365" s="1936">
        <f>'Part VIII-Threshold Criteria'!P271</f>
        <v>0</v>
      </c>
      <c r="Q1365" s="1936">
        <f>'Part VIII-Threshold Criteria'!Q271</f>
        <v>0</v>
      </c>
    </row>
    <row r="1366" spans="1:17">
      <c r="A1366" s="1836"/>
      <c r="B1366" s="1934"/>
      <c r="C1366" s="1939"/>
      <c r="D1366" s="1939"/>
      <c r="E1366" s="1939"/>
      <c r="F1366" s="1939"/>
      <c r="G1366" s="1939"/>
      <c r="H1366" s="1939"/>
      <c r="I1366" s="1939"/>
      <c r="J1366" s="1939"/>
      <c r="K1366" s="1939"/>
      <c r="L1366" s="1939"/>
      <c r="M1366" s="1939"/>
      <c r="Q1366" s="1836"/>
    </row>
    <row r="1367" spans="1:17">
      <c r="A1367" s="1819" t="s">
        <v>2267</v>
      </c>
      <c r="B1367" s="1818" t="s">
        <v>2680</v>
      </c>
      <c r="C1367" s="1818"/>
      <c r="D1367" s="1933"/>
      <c r="E1367" s="1933"/>
      <c r="F1367" s="1933"/>
      <c r="G1367" s="1933"/>
      <c r="H1367" s="1939"/>
      <c r="I1367" s="1939"/>
      <c r="J1367" s="1939"/>
      <c r="K1367" s="1939"/>
      <c r="L1367" s="1939"/>
      <c r="M1367" s="1939"/>
      <c r="O1367" s="1935" t="s">
        <v>1881</v>
      </c>
      <c r="P1367" s="1844">
        <f>'Part VIII-Threshold Criteria'!P273</f>
        <v>0</v>
      </c>
      <c r="Q1367" s="1844">
        <f>'Part VIII-Threshold Criteria'!Q273</f>
        <v>0</v>
      </c>
    </row>
    <row r="1369" spans="1:17" ht="12.75" customHeight="1">
      <c r="A1369" s="1973" t="s">
        <v>1999</v>
      </c>
      <c r="B1369" s="1936" t="s">
        <v>3939</v>
      </c>
      <c r="C1369" s="1936"/>
      <c r="D1369" s="1936"/>
      <c r="E1369" s="1936"/>
      <c r="F1369" s="1936"/>
      <c r="G1369" s="1936"/>
      <c r="H1369" s="1936"/>
      <c r="I1369" s="1936"/>
      <c r="J1369" s="1936"/>
      <c r="K1369" s="1936"/>
      <c r="L1369" s="1936"/>
      <c r="M1369" s="1936"/>
      <c r="N1369" s="1936"/>
      <c r="O1369" s="1987" t="s">
        <v>1999</v>
      </c>
      <c r="P1369" s="1988" t="str">
        <f>'Part VIII-Threshold Criteria'!P275</f>
        <v>Yes</v>
      </c>
      <c r="Q1369" s="1988">
        <f>'Part VIII-Threshold Criteria'!Q275</f>
        <v>0</v>
      </c>
    </row>
    <row r="1370" spans="1:17">
      <c r="A1370" s="1975"/>
      <c r="B1370" s="478" t="s">
        <v>3782</v>
      </c>
      <c r="D1370" s="478"/>
      <c r="E1370" s="478"/>
      <c r="F1370" s="478"/>
      <c r="G1370" s="478"/>
      <c r="H1370" s="478"/>
      <c r="I1370" s="478"/>
      <c r="J1370" s="478"/>
      <c r="K1370" s="478"/>
      <c r="L1370" s="478"/>
      <c r="M1370" s="478"/>
      <c r="O1370" s="1977"/>
      <c r="P1370" s="1942" t="str">
        <f>'Part VIII-Threshold Criteria'!P276</f>
        <v>Yes</v>
      </c>
      <c r="Q1370" s="1942">
        <f>'Part VIII-Threshold Criteria'!Q276</f>
        <v>0</v>
      </c>
    </row>
    <row r="1371" spans="1:17">
      <c r="A1371" s="1975" t="s">
        <v>2001</v>
      </c>
      <c r="B1371" s="478" t="s">
        <v>3783</v>
      </c>
      <c r="D1371" s="478"/>
      <c r="E1371" s="478"/>
      <c r="F1371" s="478"/>
      <c r="G1371" s="478"/>
      <c r="H1371" s="478"/>
      <c r="I1371" s="478"/>
      <c r="J1371" s="478"/>
      <c r="K1371" s="478"/>
      <c r="L1371" s="478"/>
      <c r="M1371" s="478"/>
      <c r="O1371" s="1977" t="s">
        <v>2001</v>
      </c>
      <c r="P1371" s="1942" t="str">
        <f>'Part VIII-Threshold Criteria'!P277</f>
        <v>Yes</v>
      </c>
      <c r="Q1371" s="1942">
        <f>'Part VIII-Threshold Criteria'!Q277</f>
        <v>0</v>
      </c>
    </row>
    <row r="1372" spans="1:17">
      <c r="A1372" s="1975" t="s">
        <v>757</v>
      </c>
      <c r="B1372" s="478" t="s">
        <v>4167</v>
      </c>
      <c r="D1372" s="478"/>
      <c r="E1372" s="478"/>
      <c r="F1372" s="478"/>
      <c r="G1372" s="478"/>
      <c r="H1372" s="478"/>
      <c r="I1372" s="478"/>
      <c r="J1372" s="478"/>
      <c r="K1372" s="478"/>
      <c r="L1372" s="478"/>
      <c r="M1372" s="478"/>
      <c r="O1372" s="1977" t="s">
        <v>757</v>
      </c>
      <c r="P1372" s="1942" t="str">
        <f>'Part VIII-Threshold Criteria'!P278</f>
        <v>Yes</v>
      </c>
      <c r="Q1372" s="1942">
        <f>'Part VIII-Threshold Criteria'!Q278</f>
        <v>0</v>
      </c>
    </row>
    <row r="1373" spans="1:17">
      <c r="A1373" s="1975"/>
      <c r="B1373" s="478" t="s">
        <v>3784</v>
      </c>
      <c r="D1373" s="478"/>
      <c r="E1373" s="478"/>
      <c r="F1373" s="478"/>
      <c r="G1373" s="478"/>
      <c r="H1373" s="478"/>
      <c r="I1373" s="478"/>
      <c r="J1373" s="478"/>
      <c r="K1373" s="478"/>
      <c r="L1373" s="478"/>
      <c r="M1373" s="478"/>
      <c r="O1373" s="1977"/>
      <c r="P1373" s="1942" t="str">
        <f>'Part VIII-Threshold Criteria'!P279</f>
        <v>Yes</v>
      </c>
      <c r="Q1373" s="1942">
        <f>'Part VIII-Threshold Criteria'!Q279</f>
        <v>0</v>
      </c>
    </row>
    <row r="1374" spans="1:17">
      <c r="A1374" s="1975" t="s">
        <v>2131</v>
      </c>
      <c r="B1374" s="478" t="s">
        <v>4168</v>
      </c>
      <c r="D1374" s="478"/>
      <c r="E1374" s="478"/>
      <c r="F1374" s="478"/>
      <c r="G1374" s="478"/>
      <c r="H1374" s="478"/>
      <c r="I1374" s="478"/>
      <c r="J1374" s="478"/>
      <c r="K1374" s="478"/>
      <c r="L1374" s="478"/>
      <c r="M1374" s="478"/>
      <c r="O1374" s="1977" t="s">
        <v>2131</v>
      </c>
      <c r="P1374" s="1942" t="str">
        <f>'Part VIII-Threshold Criteria'!P280</f>
        <v>Yes</v>
      </c>
      <c r="Q1374" s="1942">
        <f>'Part VIII-Threshold Criteria'!Q280</f>
        <v>0</v>
      </c>
    </row>
    <row r="1375" spans="1:17">
      <c r="B1375" s="1873" t="s">
        <v>3779</v>
      </c>
      <c r="D1375" s="1873"/>
      <c r="E1375" s="1873"/>
      <c r="F1375" s="1873"/>
      <c r="G1375" s="1873"/>
      <c r="H1375" s="1872"/>
      <c r="I1375" s="1934"/>
      <c r="J1375" s="1934"/>
      <c r="K1375" s="1934"/>
      <c r="L1375" s="1836"/>
      <c r="M1375" s="1836"/>
      <c r="N1375" s="1836"/>
      <c r="O1375" s="1836"/>
      <c r="P1375" s="1836"/>
      <c r="Q1375" s="1836"/>
    </row>
    <row r="1376" spans="1:17" ht="409.5">
      <c r="A1376" s="1936" t="str">
        <f>'Part VIII-Threshold Criteria'!A282</f>
        <v xml:space="preserve">15.A: please see Tab 15-01 for this information. Tindall Fields III meets Threshold approval because we have included all of the DCA-required information on the Existing Conditions and Conceptual Site Plans; we have also added an additional site plan depicting all four phases of the Redevelopment Plan for contextual purposes only. The DCA Cover Sheets are also included and this is actually on 2 pages due to the amount of information requested. Aerial photographs for 15.A &amp; 15.D were taken in April 2018. We have submitted our documentation for Items 15-B, C, and D at Tabs 15-02, 15-03 and 15-04, respectively. </v>
      </c>
      <c r="B1376" s="1936">
        <f>'Part VIII-Threshold Criteria'!B282</f>
        <v>0</v>
      </c>
      <c r="C1376" s="1936">
        <f>'Part VIII-Threshold Criteria'!C282</f>
        <v>0</v>
      </c>
      <c r="D1376" s="1936">
        <f>'Part VIII-Threshold Criteria'!D282</f>
        <v>0</v>
      </c>
      <c r="E1376" s="1936">
        <f>'Part VIII-Threshold Criteria'!E282</f>
        <v>0</v>
      </c>
      <c r="F1376" s="1936">
        <f>'Part VIII-Threshold Criteria'!F282</f>
        <v>0</v>
      </c>
      <c r="G1376" s="1936">
        <f>'Part VIII-Threshold Criteria'!G282</f>
        <v>0</v>
      </c>
      <c r="H1376" s="1936">
        <f>'Part VIII-Threshold Criteria'!H282</f>
        <v>0</v>
      </c>
      <c r="I1376" s="1936">
        <f>'Part VIII-Threshold Criteria'!I282</f>
        <v>0</v>
      </c>
      <c r="J1376" s="1936">
        <f>'Part VIII-Threshold Criteria'!J282</f>
        <v>0</v>
      </c>
      <c r="K1376" s="1936">
        <f>'Part VIII-Threshold Criteria'!K282</f>
        <v>0</v>
      </c>
      <c r="L1376" s="1936">
        <f>'Part VIII-Threshold Criteria'!L282</f>
        <v>0</v>
      </c>
      <c r="M1376" s="1936">
        <f>'Part VIII-Threshold Criteria'!M282</f>
        <v>0</v>
      </c>
      <c r="N1376" s="1936">
        <f>'Part VIII-Threshold Criteria'!N282</f>
        <v>0</v>
      </c>
      <c r="O1376" s="1936">
        <f>'Part VIII-Threshold Criteria'!O282</f>
        <v>0</v>
      </c>
      <c r="P1376" s="1936">
        <f>'Part VIII-Threshold Criteria'!P282</f>
        <v>0</v>
      </c>
      <c r="Q1376" s="1936">
        <f>'Part VIII-Threshold Criteria'!Q282</f>
        <v>0</v>
      </c>
    </row>
    <row r="1377" spans="1:17">
      <c r="B1377" s="1937" t="s">
        <v>1880</v>
      </c>
      <c r="C1377" s="1938"/>
      <c r="D1377" s="1939"/>
      <c r="E1377" s="1939"/>
      <c r="F1377" s="1939"/>
      <c r="G1377" s="1939"/>
      <c r="H1377" s="1939"/>
      <c r="I1377" s="1939"/>
      <c r="J1377" s="1939"/>
      <c r="K1377" s="1939"/>
      <c r="L1377" s="1939"/>
      <c r="M1377" s="1939"/>
      <c r="N1377" s="1939"/>
      <c r="O1377" s="1939"/>
      <c r="P1377" s="1939"/>
      <c r="Q1377" s="1939"/>
    </row>
    <row r="1378" spans="1:17">
      <c r="A1378" s="1936">
        <f>'Part VIII-Threshold Criteria'!A284</f>
        <v>0</v>
      </c>
      <c r="B1378" s="1936">
        <f>'Part VIII-Threshold Criteria'!B284</f>
        <v>0</v>
      </c>
      <c r="C1378" s="1936">
        <f>'Part VIII-Threshold Criteria'!C284</f>
        <v>0</v>
      </c>
      <c r="D1378" s="1936">
        <f>'Part VIII-Threshold Criteria'!D284</f>
        <v>0</v>
      </c>
      <c r="E1378" s="1936">
        <f>'Part VIII-Threshold Criteria'!E284</f>
        <v>0</v>
      </c>
      <c r="F1378" s="1936">
        <f>'Part VIII-Threshold Criteria'!F284</f>
        <v>0</v>
      </c>
      <c r="G1378" s="1936">
        <f>'Part VIII-Threshold Criteria'!G284</f>
        <v>0</v>
      </c>
      <c r="H1378" s="1936">
        <f>'Part VIII-Threshold Criteria'!H284</f>
        <v>0</v>
      </c>
      <c r="I1378" s="1936">
        <f>'Part VIII-Threshold Criteria'!I284</f>
        <v>0</v>
      </c>
      <c r="J1378" s="1936">
        <f>'Part VIII-Threshold Criteria'!J284</f>
        <v>0</v>
      </c>
      <c r="K1378" s="1936">
        <f>'Part VIII-Threshold Criteria'!K284</f>
        <v>0</v>
      </c>
      <c r="L1378" s="1936">
        <f>'Part VIII-Threshold Criteria'!L284</f>
        <v>0</v>
      </c>
      <c r="M1378" s="1936">
        <f>'Part VIII-Threshold Criteria'!M284</f>
        <v>0</v>
      </c>
      <c r="N1378" s="1936">
        <f>'Part VIII-Threshold Criteria'!N284</f>
        <v>0</v>
      </c>
      <c r="O1378" s="1936">
        <f>'Part VIII-Threshold Criteria'!O284</f>
        <v>0</v>
      </c>
      <c r="P1378" s="1936">
        <f>'Part VIII-Threshold Criteria'!P284</f>
        <v>0</v>
      </c>
      <c r="Q1378" s="1936">
        <f>'Part VIII-Threshold Criteria'!Q284</f>
        <v>0</v>
      </c>
    </row>
    <row r="1379" spans="1:17">
      <c r="A1379" s="1819" t="s">
        <v>4149</v>
      </c>
      <c r="B1379" s="1819" t="s">
        <v>2681</v>
      </c>
      <c r="C1379" s="1819"/>
      <c r="D1379" s="1939"/>
      <c r="E1379" s="1939"/>
      <c r="F1379" s="1939"/>
      <c r="G1379" s="1939"/>
      <c r="H1379" s="1939"/>
      <c r="I1379" s="1939"/>
      <c r="J1379" s="1939"/>
      <c r="K1379" s="1939"/>
      <c r="L1379" s="1939"/>
      <c r="M1379" s="1939"/>
      <c r="O1379" s="1935" t="s">
        <v>1881</v>
      </c>
      <c r="P1379" s="1844">
        <f>'Part VIII-Threshold Criteria'!P285</f>
        <v>0</v>
      </c>
      <c r="Q1379" s="1844">
        <f>'Part VIII-Threshold Criteria'!Q285</f>
        <v>0</v>
      </c>
    </row>
    <row r="1381" spans="1:17" ht="12.75" customHeight="1">
      <c r="A1381" s="1973" t="s">
        <v>1999</v>
      </c>
      <c r="B1381" s="1936" t="s">
        <v>2831</v>
      </c>
      <c r="C1381" s="1936"/>
      <c r="D1381" s="1936"/>
      <c r="E1381" s="1936"/>
      <c r="F1381" s="1936"/>
      <c r="G1381" s="1936"/>
      <c r="H1381" s="1936"/>
      <c r="I1381" s="1936"/>
      <c r="J1381" s="1936"/>
      <c r="K1381" s="1936"/>
      <c r="L1381" s="1936"/>
      <c r="M1381" s="1936"/>
      <c r="N1381" s="1936"/>
      <c r="O1381" s="1987" t="s">
        <v>1999</v>
      </c>
      <c r="P1381" s="1988" t="str">
        <f>'Part VIII-Threshold Criteria'!P287</f>
        <v>Agree</v>
      </c>
      <c r="Q1381" s="1988">
        <f>'Part VIII-Threshold Criteria'!Q287</f>
        <v>0</v>
      </c>
    </row>
    <row r="1382" spans="1:17" ht="12.75" customHeight="1">
      <c r="A1382" s="1973" t="s">
        <v>2001</v>
      </c>
      <c r="B1382" s="1936" t="s">
        <v>2832</v>
      </c>
      <c r="C1382" s="1936"/>
      <c r="D1382" s="1936"/>
      <c r="E1382" s="1936"/>
      <c r="F1382" s="1936"/>
      <c r="G1382" s="1936"/>
      <c r="H1382" s="1936"/>
      <c r="I1382" s="1936"/>
      <c r="J1382" s="1936"/>
      <c r="K1382" s="1936"/>
      <c r="L1382" s="1936"/>
      <c r="M1382" s="1936"/>
      <c r="N1382" s="1936"/>
      <c r="O1382" s="1987" t="s">
        <v>2001</v>
      </c>
      <c r="P1382" s="1988" t="str">
        <f>'Part VIII-Threshold Criteria'!P288</f>
        <v>Agree</v>
      </c>
      <c r="Q1382" s="1988">
        <f>'Part VIII-Threshold Criteria'!Q288</f>
        <v>0</v>
      </c>
    </row>
    <row r="1383" spans="1:17">
      <c r="B1383" s="1873" t="s">
        <v>3779</v>
      </c>
      <c r="D1383" s="1873"/>
      <c r="E1383" s="1873"/>
      <c r="F1383" s="1873"/>
      <c r="G1383" s="1873"/>
      <c r="H1383" s="1872"/>
      <c r="I1383" s="1934"/>
      <c r="J1383" s="1934"/>
      <c r="K1383" s="1934"/>
      <c r="L1383" s="1836"/>
      <c r="M1383" s="1836"/>
      <c r="N1383" s="1836"/>
      <c r="O1383" s="1836"/>
      <c r="P1383" s="1836"/>
      <c r="Q1383" s="1836"/>
    </row>
    <row r="1384" spans="1:17" ht="409.5">
      <c r="A1384" s="1936" t="str">
        <f>'Part VIII-Threshold Criteria'!A290</f>
        <v xml:space="preserve">Tindall Fields III meets Threshold approval for sustainability because the Partnership, In-Fill Housing II, Inc., the A/E team and our sustainability consultant, Synergy Home Advantage, are all very familiar with these requirements; Tindall Fields III will be in full compliance with all of DCA’s sustainability requirements.  We have an excellent track record of sustainability compliance with our 17 other completed properties. </v>
      </c>
      <c r="B1384" s="1936">
        <f>'Part VIII-Threshold Criteria'!B290</f>
        <v>0</v>
      </c>
      <c r="C1384" s="1936">
        <f>'Part VIII-Threshold Criteria'!C290</f>
        <v>0</v>
      </c>
      <c r="D1384" s="1936">
        <f>'Part VIII-Threshold Criteria'!D290</f>
        <v>0</v>
      </c>
      <c r="E1384" s="1936">
        <f>'Part VIII-Threshold Criteria'!E290</f>
        <v>0</v>
      </c>
      <c r="F1384" s="1936">
        <f>'Part VIII-Threshold Criteria'!F290</f>
        <v>0</v>
      </c>
      <c r="G1384" s="1936">
        <f>'Part VIII-Threshold Criteria'!G290</f>
        <v>0</v>
      </c>
      <c r="H1384" s="1936">
        <f>'Part VIII-Threshold Criteria'!H290</f>
        <v>0</v>
      </c>
      <c r="I1384" s="1936">
        <f>'Part VIII-Threshold Criteria'!I290</f>
        <v>0</v>
      </c>
      <c r="J1384" s="1936">
        <f>'Part VIII-Threshold Criteria'!J290</f>
        <v>0</v>
      </c>
      <c r="K1384" s="1936">
        <f>'Part VIII-Threshold Criteria'!K290</f>
        <v>0</v>
      </c>
      <c r="L1384" s="1936">
        <f>'Part VIII-Threshold Criteria'!L290</f>
        <v>0</v>
      </c>
      <c r="M1384" s="1936">
        <f>'Part VIII-Threshold Criteria'!M290</f>
        <v>0</v>
      </c>
      <c r="N1384" s="1936">
        <f>'Part VIII-Threshold Criteria'!N290</f>
        <v>0</v>
      </c>
      <c r="O1384" s="1936">
        <f>'Part VIII-Threshold Criteria'!O290</f>
        <v>0</v>
      </c>
      <c r="P1384" s="1936">
        <f>'Part VIII-Threshold Criteria'!P290</f>
        <v>0</v>
      </c>
      <c r="Q1384" s="1936">
        <f>'Part VIII-Threshold Criteria'!Q290</f>
        <v>0</v>
      </c>
    </row>
    <row r="1385" spans="1:17">
      <c r="B1385" s="1937" t="s">
        <v>1880</v>
      </c>
      <c r="C1385" s="1938"/>
      <c r="D1385" s="1939"/>
      <c r="E1385" s="1939"/>
      <c r="F1385" s="1939"/>
      <c r="G1385" s="1939"/>
      <c r="H1385" s="1939"/>
      <c r="I1385" s="1939"/>
      <c r="J1385" s="1939"/>
      <c r="K1385" s="1939"/>
      <c r="L1385" s="1939"/>
      <c r="M1385" s="1939"/>
      <c r="N1385" s="1939"/>
      <c r="O1385" s="1939"/>
      <c r="P1385" s="1939"/>
      <c r="Q1385" s="1939"/>
    </row>
    <row r="1386" spans="1:17">
      <c r="A1386" s="1936">
        <f>'Part VIII-Threshold Criteria'!A292</f>
        <v>0</v>
      </c>
      <c r="B1386" s="1936">
        <f>'Part VIII-Threshold Criteria'!B292</f>
        <v>0</v>
      </c>
      <c r="C1386" s="1936">
        <f>'Part VIII-Threshold Criteria'!C292</f>
        <v>0</v>
      </c>
      <c r="D1386" s="1936">
        <f>'Part VIII-Threshold Criteria'!D292</f>
        <v>0</v>
      </c>
      <c r="E1386" s="1936">
        <f>'Part VIII-Threshold Criteria'!E292</f>
        <v>0</v>
      </c>
      <c r="F1386" s="1936">
        <f>'Part VIII-Threshold Criteria'!F292</f>
        <v>0</v>
      </c>
      <c r="G1386" s="1936">
        <f>'Part VIII-Threshold Criteria'!G292</f>
        <v>0</v>
      </c>
      <c r="H1386" s="1936">
        <f>'Part VIII-Threshold Criteria'!H292</f>
        <v>0</v>
      </c>
      <c r="I1386" s="1936">
        <f>'Part VIII-Threshold Criteria'!I292</f>
        <v>0</v>
      </c>
      <c r="J1386" s="1936">
        <f>'Part VIII-Threshold Criteria'!J292</f>
        <v>0</v>
      </c>
      <c r="K1386" s="1936">
        <f>'Part VIII-Threshold Criteria'!K292</f>
        <v>0</v>
      </c>
      <c r="L1386" s="1936">
        <f>'Part VIII-Threshold Criteria'!L292</f>
        <v>0</v>
      </c>
      <c r="M1386" s="1936">
        <f>'Part VIII-Threshold Criteria'!M292</f>
        <v>0</v>
      </c>
      <c r="N1386" s="1936">
        <f>'Part VIII-Threshold Criteria'!N292</f>
        <v>0</v>
      </c>
      <c r="O1386" s="1936">
        <f>'Part VIII-Threshold Criteria'!O292</f>
        <v>0</v>
      </c>
      <c r="P1386" s="1936">
        <f>'Part VIII-Threshold Criteria'!P292</f>
        <v>0</v>
      </c>
      <c r="Q1386" s="1936">
        <f>'Part VIII-Threshold Criteria'!Q292</f>
        <v>0</v>
      </c>
    </row>
    <row r="1387" spans="1:17">
      <c r="A1387" s="1819" t="s">
        <v>4150</v>
      </c>
      <c r="B1387" s="1819" t="s">
        <v>2682</v>
      </c>
      <c r="C1387" s="2003"/>
      <c r="D1387" s="2004"/>
      <c r="E1387" s="1939"/>
      <c r="F1387" s="1939"/>
      <c r="G1387" s="1939"/>
      <c r="H1387" s="1939"/>
      <c r="I1387" s="1939"/>
      <c r="J1387" s="1939"/>
      <c r="K1387" s="1939"/>
      <c r="L1387" s="1939"/>
      <c r="M1387" s="1939"/>
      <c r="O1387" s="1935" t="s">
        <v>1881</v>
      </c>
      <c r="P1387" s="1844">
        <f>'Part VIII-Threshold Criteria'!P293</f>
        <v>0</v>
      </c>
      <c r="Q1387" s="1844">
        <f>'Part VIII-Threshold Criteria'!Q293</f>
        <v>0</v>
      </c>
    </row>
    <row r="1388" spans="1:17">
      <c r="A1388" s="1860" t="s">
        <v>1999</v>
      </c>
      <c r="B1388" s="1819" t="s">
        <v>4795</v>
      </c>
    </row>
    <row r="1389" spans="1:17" ht="12.75" customHeight="1">
      <c r="A1389" s="1973"/>
      <c r="B1389" s="1987" t="s">
        <v>1750</v>
      </c>
      <c r="C1389" s="1936" t="s">
        <v>3941</v>
      </c>
      <c r="D1389" s="1936"/>
      <c r="E1389" s="1936"/>
      <c r="F1389" s="1936"/>
      <c r="G1389" s="1936"/>
      <c r="H1389" s="1936"/>
      <c r="I1389" s="1936"/>
      <c r="J1389" s="1936"/>
      <c r="K1389" s="1936"/>
      <c r="L1389" s="1936"/>
      <c r="M1389" s="1936"/>
      <c r="N1389" s="1936"/>
      <c r="O1389" s="1987" t="s">
        <v>2744</v>
      </c>
      <c r="P1389" s="1988" t="str">
        <f>'Part VIII-Threshold Criteria'!P295</f>
        <v>Yes</v>
      </c>
      <c r="Q1389" s="1988">
        <f>'Part VIII-Threshold Criteria'!Q295</f>
        <v>0</v>
      </c>
    </row>
    <row r="1390" spans="1:17" ht="12.75" customHeight="1">
      <c r="A1390" s="1973"/>
      <c r="B1390" s="1987" t="s">
        <v>1751</v>
      </c>
      <c r="C1390" s="1936" t="s">
        <v>3942</v>
      </c>
      <c r="D1390" s="1936"/>
      <c r="E1390" s="1936"/>
      <c r="F1390" s="1936"/>
      <c r="G1390" s="1936"/>
      <c r="H1390" s="1936"/>
      <c r="I1390" s="1936"/>
      <c r="J1390" s="1936"/>
      <c r="K1390" s="1936"/>
      <c r="L1390" s="1936"/>
      <c r="M1390" s="1936"/>
      <c r="N1390" s="1936"/>
      <c r="O1390" s="1987" t="s">
        <v>1751</v>
      </c>
      <c r="P1390" s="1988" t="str">
        <f>'Part VIII-Threshold Criteria'!P296</f>
        <v>Yes</v>
      </c>
      <c r="Q1390" s="1988">
        <f>'Part VIII-Threshold Criteria'!Q296</f>
        <v>0</v>
      </c>
    </row>
    <row r="1391" spans="1:17" ht="12.75" customHeight="1">
      <c r="A1391" s="1973"/>
      <c r="B1391" s="1987" t="s">
        <v>1752</v>
      </c>
      <c r="C1391" s="1936" t="s">
        <v>3940</v>
      </c>
      <c r="D1391" s="1936"/>
      <c r="E1391" s="1936"/>
      <c r="F1391" s="1936"/>
      <c r="G1391" s="1936"/>
      <c r="H1391" s="1936"/>
      <c r="I1391" s="1936"/>
      <c r="J1391" s="1936"/>
      <c r="K1391" s="1936"/>
      <c r="L1391" s="1936"/>
      <c r="M1391" s="1936"/>
      <c r="N1391" s="1936"/>
      <c r="O1391" s="1987" t="s">
        <v>1752</v>
      </c>
      <c r="P1391" s="1988" t="str">
        <f>'Part VIII-Threshold Criteria'!P297</f>
        <v>Yes</v>
      </c>
      <c r="Q1391" s="1988">
        <f>'Part VIII-Threshold Criteria'!Q297</f>
        <v>0</v>
      </c>
    </row>
    <row r="1392" spans="1:17">
      <c r="A1392" s="1860" t="s">
        <v>2001</v>
      </c>
      <c r="B1392" s="1819" t="s">
        <v>3906</v>
      </c>
      <c r="C1392" s="1629"/>
      <c r="D1392" s="2005"/>
      <c r="E1392" s="2005"/>
      <c r="F1392" s="2005"/>
      <c r="G1392" s="2005"/>
      <c r="H1392" s="2005"/>
      <c r="I1392" s="2005"/>
      <c r="J1392" s="2005"/>
      <c r="K1392" s="2005"/>
      <c r="L1392" s="2005"/>
      <c r="M1392" s="2005"/>
      <c r="N1392" s="2005"/>
      <c r="O1392" s="1977"/>
      <c r="P1392" s="1977"/>
      <c r="Q1392" s="1977"/>
    </row>
    <row r="1393" spans="1:17" ht="12.75" customHeight="1">
      <c r="A1393" s="1984"/>
      <c r="B1393" s="1987" t="s">
        <v>1750</v>
      </c>
      <c r="C1393" s="1936" t="s">
        <v>4796</v>
      </c>
      <c r="D1393" s="1936"/>
      <c r="E1393" s="1936"/>
      <c r="F1393" s="1936"/>
      <c r="G1393" s="1936"/>
      <c r="H1393" s="1936"/>
      <c r="I1393" s="1961"/>
      <c r="J1393" s="1944" t="s">
        <v>3822</v>
      </c>
      <c r="K1393" s="1999"/>
      <c r="L1393" s="1999"/>
      <c r="M1393" s="2006" t="s">
        <v>3789</v>
      </c>
      <c r="N1393" s="2006"/>
      <c r="O1393" s="1629"/>
      <c r="P1393" s="1629"/>
      <c r="Q1393" s="1629"/>
    </row>
    <row r="1394" spans="1:17">
      <c r="A1394" s="1628"/>
      <c r="B1394" s="1625"/>
      <c r="C1394" s="1936"/>
      <c r="D1394" s="1936"/>
      <c r="E1394" s="1936"/>
      <c r="F1394" s="1936"/>
      <c r="G1394" s="1936"/>
      <c r="H1394" s="1936"/>
      <c r="I1394" s="1630"/>
      <c r="J1394" s="1999"/>
      <c r="K1394" s="1999"/>
      <c r="L1394" s="1999"/>
      <c r="M1394" s="478" t="s">
        <v>3790</v>
      </c>
      <c r="N1394" s="1934" t="s">
        <v>3821</v>
      </c>
      <c r="O1394" s="1625"/>
      <c r="P1394" s="1647"/>
      <c r="Q1394" s="1625"/>
    </row>
    <row r="1395" spans="1:17">
      <c r="A1395" s="1628"/>
      <c r="B1395" s="1625"/>
      <c r="C1395" s="1936"/>
      <c r="D1395" s="1936"/>
      <c r="E1395" s="1936"/>
      <c r="F1395" s="1936"/>
      <c r="G1395" s="1936"/>
      <c r="H1395" s="1936"/>
      <c r="I1395" s="478" t="s">
        <v>4170</v>
      </c>
      <c r="J1395" s="1625"/>
      <c r="K1395" s="2007">
        <f>'Part VIII-Threshold Criteria'!K301</f>
        <v>4</v>
      </c>
      <c r="L1395" s="1626" t="str">
        <f>IF(K1395&lt;M1395,"Check!!!","")</f>
        <v/>
      </c>
      <c r="M1395" s="2008">
        <f>'Part VIII-Threshold Criteria'!M301</f>
        <v>4</v>
      </c>
      <c r="N1395" s="2009">
        <f>'DCA Underwriting Assumptions'!$Q$136</f>
        <v>0.05</v>
      </c>
      <c r="O1395" s="1977" t="s">
        <v>3665</v>
      </c>
      <c r="P1395" s="1942" t="str">
        <f>'Part VIII-Threshold Criteria'!P301</f>
        <v>Yes</v>
      </c>
      <c r="Q1395" s="1942">
        <f>'Part VIII-Threshold Criteria'!Q301</f>
        <v>0</v>
      </c>
    </row>
    <row r="1396" spans="1:17">
      <c r="A1396" s="1628"/>
      <c r="B1396" s="1625"/>
      <c r="C1396" s="1644"/>
      <c r="D1396" s="1625"/>
      <c r="E1396" s="1644"/>
      <c r="F1396" s="1644"/>
      <c r="G1396" s="1644"/>
      <c r="H1396" s="1625"/>
      <c r="I1396" s="1625"/>
      <c r="J1396" s="1625"/>
      <c r="K1396" s="1630"/>
      <c r="L1396" s="1633"/>
      <c r="M1396" s="1625"/>
      <c r="N1396" s="1625"/>
      <c r="O1396" s="1625"/>
      <c r="P1396" s="1647"/>
      <c r="Q1396" s="1625"/>
    </row>
    <row r="1397" spans="1:17" ht="12.75" customHeight="1">
      <c r="A1397" s="1973"/>
      <c r="B1397" s="1987"/>
      <c r="C1397" s="1936" t="s">
        <v>4797</v>
      </c>
      <c r="D1397" s="1936"/>
      <c r="E1397" s="1936"/>
      <c r="F1397" s="1936"/>
      <c r="G1397" s="1936"/>
      <c r="H1397" s="1936"/>
      <c r="I1397" s="2010" t="s">
        <v>4171</v>
      </c>
      <c r="J1397" s="1625"/>
      <c r="K1397" s="2007">
        <f>'Part VIII-Threshold Criteria'!K303</f>
        <v>4</v>
      </c>
      <c r="L1397" s="1626" t="str">
        <f>IF(K1397&lt;M1397,"Check!!!","")</f>
        <v/>
      </c>
      <c r="M1397" s="2008">
        <f>'Part VIII-Threshold Criteria'!M303</f>
        <v>2</v>
      </c>
      <c r="N1397" s="2009">
        <f>'DCA Underwriting Assumptions'!$Q$137</f>
        <v>0.4</v>
      </c>
      <c r="O1397" s="1977" t="s">
        <v>2133</v>
      </c>
      <c r="P1397" s="1942" t="str">
        <f>'Part VIII-Threshold Criteria'!P303</f>
        <v>Yes</v>
      </c>
      <c r="Q1397" s="1942">
        <f>'Part VIII-Threshold Criteria'!Q303</f>
        <v>0</v>
      </c>
    </row>
    <row r="1398" spans="1:17">
      <c r="A1398" s="1628"/>
      <c r="B1398" s="1625"/>
      <c r="C1398" s="1936"/>
      <c r="D1398" s="1936"/>
      <c r="E1398" s="1936"/>
      <c r="F1398" s="1936"/>
      <c r="G1398" s="1936"/>
      <c r="H1398" s="1936"/>
      <c r="I1398" s="1625"/>
      <c r="J1398" s="1625"/>
      <c r="K1398" s="1625"/>
      <c r="L1398" s="1625"/>
      <c r="M1398" s="1625"/>
      <c r="N1398" s="1625"/>
      <c r="O1398" s="1872"/>
      <c r="P1398" s="1977"/>
      <c r="Q1398" s="1625"/>
    </row>
    <row r="1399" spans="1:17" ht="12.75" customHeight="1">
      <c r="A1399" s="1973"/>
      <c r="B1399" s="1987" t="s">
        <v>1751</v>
      </c>
      <c r="C1399" s="1936" t="s">
        <v>4798</v>
      </c>
      <c r="D1399" s="1936"/>
      <c r="E1399" s="1936"/>
      <c r="F1399" s="1936"/>
      <c r="G1399" s="1936"/>
      <c r="H1399" s="1936"/>
      <c r="I1399" s="478" t="s">
        <v>4172</v>
      </c>
      <c r="J1399" s="1625"/>
      <c r="K1399" s="2007">
        <f>'Part VIII-Threshold Criteria'!K305</f>
        <v>2</v>
      </c>
      <c r="L1399" s="1626" t="str">
        <f>IF(K1399&lt;M1399,"Check!!!","")</f>
        <v/>
      </c>
      <c r="M1399" s="2008">
        <f>'Part VIII-Threshold Criteria'!M305</f>
        <v>2</v>
      </c>
      <c r="N1399" s="2009">
        <f>'DCA Underwriting Assumptions'!$Q$138</f>
        <v>0.02</v>
      </c>
      <c r="O1399" s="1977" t="s">
        <v>1751</v>
      </c>
      <c r="P1399" s="1942" t="str">
        <f>'Part VIII-Threshold Criteria'!P305</f>
        <v>Yes</v>
      </c>
      <c r="Q1399" s="1942">
        <f>'Part VIII-Threshold Criteria'!Q305</f>
        <v>0</v>
      </c>
    </row>
    <row r="1400" spans="1:17">
      <c r="A1400" s="1628"/>
      <c r="B1400" s="1625"/>
      <c r="C1400" s="1936"/>
      <c r="D1400" s="1936"/>
      <c r="E1400" s="1936"/>
      <c r="F1400" s="1936"/>
      <c r="G1400" s="1936"/>
      <c r="H1400" s="1936"/>
      <c r="I1400" s="1625"/>
      <c r="J1400" s="478"/>
      <c r="K1400" s="478"/>
      <c r="L1400" s="1872"/>
      <c r="M1400" s="1934"/>
      <c r="N1400" s="1625"/>
      <c r="O1400" s="478"/>
      <c r="P1400" s="1934"/>
      <c r="Q1400" s="478"/>
    </row>
    <row r="1401" spans="1:17">
      <c r="A1401" s="1628"/>
      <c r="B1401" s="1625"/>
      <c r="C1401" s="1936"/>
      <c r="D1401" s="1936"/>
      <c r="E1401" s="1936"/>
      <c r="F1401" s="1936"/>
      <c r="G1401" s="1936"/>
      <c r="H1401" s="1936"/>
      <c r="I1401" s="1625"/>
      <c r="J1401" s="1625"/>
      <c r="K1401" s="1625"/>
      <c r="L1401" s="1625"/>
      <c r="M1401" s="1625"/>
      <c r="N1401" s="1625"/>
      <c r="O1401" s="1872"/>
      <c r="P1401" s="1977"/>
      <c r="Q1401" s="1625"/>
    </row>
    <row r="1402" spans="1:17">
      <c r="A1402" s="1860" t="s">
        <v>757</v>
      </c>
      <c r="B1402" s="1819" t="s">
        <v>3907</v>
      </c>
      <c r="C1402" s="1625"/>
      <c r="D1402" s="1939"/>
      <c r="E1402" s="1939"/>
      <c r="F1402" s="1939"/>
      <c r="G1402" s="1939"/>
      <c r="H1402" s="1939"/>
      <c r="I1402" s="1625"/>
      <c r="J1402" s="1625"/>
      <c r="K1402" s="1625"/>
      <c r="L1402" s="1625"/>
      <c r="M1402" s="1625"/>
      <c r="N1402" s="1625"/>
      <c r="O1402" s="1872"/>
      <c r="P1402" s="1977"/>
      <c r="Q1402" s="1625"/>
    </row>
    <row r="1403" spans="1:17" ht="12.75" customHeight="1">
      <c r="A1403" s="1629"/>
      <c r="B1403" s="1936" t="s">
        <v>3667</v>
      </c>
      <c r="C1403" s="1936"/>
      <c r="D1403" s="1936"/>
      <c r="E1403" s="1936"/>
      <c r="F1403" s="1936"/>
      <c r="G1403" s="1936"/>
      <c r="H1403" s="1936"/>
      <c r="I1403" s="1936"/>
      <c r="J1403" s="1936"/>
      <c r="K1403" s="1936"/>
      <c r="L1403" s="1936"/>
      <c r="M1403" s="1936"/>
      <c r="N1403" s="1936"/>
      <c r="O1403" s="1987" t="s">
        <v>757</v>
      </c>
      <c r="P1403" s="1988" t="str">
        <f>'Part VIII-Threshold Criteria'!P309</f>
        <v>Yes</v>
      </c>
      <c r="Q1403" s="1988">
        <f>'Part VIII-Threshold Criteria'!Q309</f>
        <v>0</v>
      </c>
    </row>
    <row r="1404" spans="1:17">
      <c r="A1404" s="1629"/>
      <c r="B1404" s="1961" t="s">
        <v>3668</v>
      </c>
      <c r="C1404" s="1629"/>
      <c r="D1404" s="1961"/>
      <c r="E1404" s="1961"/>
      <c r="F1404" s="1961"/>
      <c r="G1404" s="1961"/>
      <c r="H1404" s="1961"/>
      <c r="I1404" s="1961" t="s">
        <v>3788</v>
      </c>
      <c r="J1404" s="1961"/>
      <c r="K1404" s="1961"/>
      <c r="L1404" s="1961" t="str">
        <f>'Part VIII-Threshold Criteria'!L310</f>
        <v>Zeffert &amp; Associates</v>
      </c>
      <c r="M1404" s="1961">
        <f>'Part VIII-Threshold Criteria'!M310</f>
        <v>0</v>
      </c>
      <c r="N1404" s="1961">
        <f>'Part VIII-Threshold Criteria'!N310</f>
        <v>0</v>
      </c>
      <c r="O1404" s="1961"/>
      <c r="P1404" s="1961"/>
      <c r="Q1404" s="1961"/>
    </row>
    <row r="1405" spans="1:17" ht="12.75" customHeight="1">
      <c r="A1405" s="1953"/>
      <c r="B1405" s="1987" t="s">
        <v>1750</v>
      </c>
      <c r="C1405" s="1936" t="s">
        <v>3666</v>
      </c>
      <c r="D1405" s="1936"/>
      <c r="E1405" s="1936"/>
      <c r="F1405" s="1936"/>
      <c r="G1405" s="1936"/>
      <c r="H1405" s="1936"/>
      <c r="I1405" s="1936"/>
      <c r="J1405" s="1936"/>
      <c r="K1405" s="1936"/>
      <c r="L1405" s="1936"/>
      <c r="M1405" s="1936"/>
      <c r="N1405" s="1936"/>
      <c r="O1405" s="1987" t="s">
        <v>3671</v>
      </c>
      <c r="P1405" s="1988" t="str">
        <f>'Part VIII-Threshold Criteria'!P311</f>
        <v>Yes</v>
      </c>
      <c r="Q1405" s="1988">
        <f>'Part VIII-Threshold Criteria'!Q311</f>
        <v>0</v>
      </c>
    </row>
    <row r="1406" spans="1:17" ht="12.75" customHeight="1">
      <c r="A1406" s="1953"/>
      <c r="B1406" s="1987" t="s">
        <v>1751</v>
      </c>
      <c r="C1406" s="1936" t="s">
        <v>3711</v>
      </c>
      <c r="D1406" s="1936"/>
      <c r="E1406" s="1936"/>
      <c r="F1406" s="1936"/>
      <c r="G1406" s="1936"/>
      <c r="H1406" s="1936"/>
      <c r="I1406" s="1936"/>
      <c r="J1406" s="1936"/>
      <c r="K1406" s="1936"/>
      <c r="L1406" s="1936"/>
      <c r="M1406" s="1936"/>
      <c r="N1406" s="1936"/>
      <c r="O1406" s="1987" t="s">
        <v>3672</v>
      </c>
      <c r="P1406" s="1988" t="str">
        <f>'Part VIII-Threshold Criteria'!P312</f>
        <v>Yes</v>
      </c>
      <c r="Q1406" s="1988">
        <f>'Part VIII-Threshold Criteria'!Q312</f>
        <v>0</v>
      </c>
    </row>
    <row r="1407" spans="1:17" ht="12.75" customHeight="1">
      <c r="A1407" s="1953"/>
      <c r="B1407" s="1987" t="s">
        <v>1752</v>
      </c>
      <c r="C1407" s="1936" t="s">
        <v>3669</v>
      </c>
      <c r="D1407" s="1936"/>
      <c r="E1407" s="1936"/>
      <c r="F1407" s="1936"/>
      <c r="G1407" s="1936"/>
      <c r="H1407" s="1936"/>
      <c r="I1407" s="1936"/>
      <c r="J1407" s="1936"/>
      <c r="K1407" s="1936"/>
      <c r="L1407" s="1936"/>
      <c r="M1407" s="1936"/>
      <c r="N1407" s="1936"/>
      <c r="O1407" s="1987" t="s">
        <v>3673</v>
      </c>
      <c r="P1407" s="1988" t="str">
        <f>'Part VIII-Threshold Criteria'!P313</f>
        <v>Yes</v>
      </c>
      <c r="Q1407" s="1988">
        <f>'Part VIII-Threshold Criteria'!Q313</f>
        <v>0</v>
      </c>
    </row>
    <row r="1408" spans="1:17" ht="12.75" customHeight="1">
      <c r="A1408" s="1953"/>
      <c r="B1408" s="1987" t="s">
        <v>2381</v>
      </c>
      <c r="C1408" s="1936" t="s">
        <v>3670</v>
      </c>
      <c r="D1408" s="1936"/>
      <c r="E1408" s="1936"/>
      <c r="F1408" s="1936"/>
      <c r="G1408" s="1936"/>
      <c r="H1408" s="1936"/>
      <c r="I1408" s="1936"/>
      <c r="J1408" s="1936"/>
      <c r="K1408" s="1936"/>
      <c r="L1408" s="1936"/>
      <c r="M1408" s="1936"/>
      <c r="N1408" s="1936"/>
      <c r="O1408" s="1987" t="s">
        <v>3674</v>
      </c>
      <c r="P1408" s="1988" t="str">
        <f>'Part VIII-Threshold Criteria'!P314</f>
        <v>Yes</v>
      </c>
      <c r="Q1408" s="1988">
        <f>'Part VIII-Threshold Criteria'!Q314</f>
        <v>0</v>
      </c>
    </row>
    <row r="1409" spans="1:17">
      <c r="B1409" s="1873" t="s">
        <v>3779</v>
      </c>
      <c r="D1409" s="1873"/>
      <c r="E1409" s="1873"/>
      <c r="F1409" s="1873"/>
      <c r="G1409" s="1873"/>
      <c r="H1409" s="1872"/>
      <c r="I1409" s="1934"/>
      <c r="J1409" s="1934"/>
      <c r="K1409" s="1934"/>
      <c r="L1409" s="1836"/>
      <c r="M1409" s="1836"/>
      <c r="N1409" s="1836"/>
      <c r="O1409" s="1836"/>
      <c r="P1409" s="1836"/>
      <c r="Q1409" s="1836"/>
    </row>
    <row r="1410" spans="1:17" ht="409.5">
      <c r="A1410" s="1936" t="str">
        <f>'Part VIII-Threshold Criteria'!A316</f>
        <v xml:space="preserve">Tindall Fields III meets Threshold approval for accessibility because the owner and developer entities, the A/E team and the DCA-qualified accessibility consultant understand the various federal and state accessibility requirements, and Tindall Fields will be in full compliance with them.  We will contract with Zeffert &amp; Associates, Inc. for the required plan reviews, training sessions and construction monitoring inspections. Zeffert is also our third-party inspector for Tindall Seniors Towers (DCA 15-037), Tindall Fields I (DCA 16-043), Tindall Fields II (DCA 17-028).  </v>
      </c>
      <c r="B1410" s="1936">
        <f>'Part VIII-Threshold Criteria'!B316</f>
        <v>0</v>
      </c>
      <c r="C1410" s="1936">
        <f>'Part VIII-Threshold Criteria'!C316</f>
        <v>0</v>
      </c>
      <c r="D1410" s="1936">
        <f>'Part VIII-Threshold Criteria'!D316</f>
        <v>0</v>
      </c>
      <c r="E1410" s="1936">
        <f>'Part VIII-Threshold Criteria'!E316</f>
        <v>0</v>
      </c>
      <c r="F1410" s="1936">
        <f>'Part VIII-Threshold Criteria'!F316</f>
        <v>0</v>
      </c>
      <c r="G1410" s="1936">
        <f>'Part VIII-Threshold Criteria'!G316</f>
        <v>0</v>
      </c>
      <c r="H1410" s="1936">
        <f>'Part VIII-Threshold Criteria'!H316</f>
        <v>0</v>
      </c>
      <c r="I1410" s="1936">
        <f>'Part VIII-Threshold Criteria'!I316</f>
        <v>0</v>
      </c>
      <c r="J1410" s="1936">
        <f>'Part VIII-Threshold Criteria'!J316</f>
        <v>0</v>
      </c>
      <c r="K1410" s="1936">
        <f>'Part VIII-Threshold Criteria'!K316</f>
        <v>0</v>
      </c>
      <c r="L1410" s="1936">
        <f>'Part VIII-Threshold Criteria'!L316</f>
        <v>0</v>
      </c>
      <c r="M1410" s="1936">
        <f>'Part VIII-Threshold Criteria'!M316</f>
        <v>0</v>
      </c>
      <c r="N1410" s="1936">
        <f>'Part VIII-Threshold Criteria'!N316</f>
        <v>0</v>
      </c>
      <c r="O1410" s="1936">
        <f>'Part VIII-Threshold Criteria'!O316</f>
        <v>0</v>
      </c>
      <c r="P1410" s="1936">
        <f>'Part VIII-Threshold Criteria'!P316</f>
        <v>0</v>
      </c>
      <c r="Q1410" s="1936">
        <f>'Part VIII-Threshold Criteria'!Q316</f>
        <v>0</v>
      </c>
    </row>
    <row r="1411" spans="1:17">
      <c r="B1411" s="1937" t="s">
        <v>1880</v>
      </c>
      <c r="C1411" s="1938"/>
      <c r="D1411" s="1939"/>
      <c r="E1411" s="1939"/>
      <c r="F1411" s="1939"/>
      <c r="G1411" s="1939"/>
      <c r="H1411" s="1939"/>
      <c r="I1411" s="1939"/>
      <c r="J1411" s="1939"/>
      <c r="K1411" s="1939"/>
      <c r="L1411" s="1939"/>
      <c r="M1411" s="1939"/>
      <c r="N1411" s="1939"/>
      <c r="O1411" s="1939"/>
      <c r="P1411" s="1939"/>
      <c r="Q1411" s="1939"/>
    </row>
    <row r="1412" spans="1:17">
      <c r="A1412" s="1936">
        <f>'Part VIII-Threshold Criteria'!A318</f>
        <v>0</v>
      </c>
      <c r="B1412" s="1936">
        <f>'Part VIII-Threshold Criteria'!B318</f>
        <v>0</v>
      </c>
      <c r="C1412" s="1936">
        <f>'Part VIII-Threshold Criteria'!C318</f>
        <v>0</v>
      </c>
      <c r="D1412" s="1936">
        <f>'Part VIII-Threshold Criteria'!D318</f>
        <v>0</v>
      </c>
      <c r="E1412" s="1936">
        <f>'Part VIII-Threshold Criteria'!E318</f>
        <v>0</v>
      </c>
      <c r="F1412" s="1936">
        <f>'Part VIII-Threshold Criteria'!F318</f>
        <v>0</v>
      </c>
      <c r="G1412" s="1936">
        <f>'Part VIII-Threshold Criteria'!G318</f>
        <v>0</v>
      </c>
      <c r="H1412" s="1936">
        <f>'Part VIII-Threshold Criteria'!H318</f>
        <v>0</v>
      </c>
      <c r="I1412" s="1936">
        <f>'Part VIII-Threshold Criteria'!I318</f>
        <v>0</v>
      </c>
      <c r="J1412" s="1936">
        <f>'Part VIII-Threshold Criteria'!J318</f>
        <v>0</v>
      </c>
      <c r="K1412" s="1936">
        <f>'Part VIII-Threshold Criteria'!K318</f>
        <v>0</v>
      </c>
      <c r="L1412" s="1936">
        <f>'Part VIII-Threshold Criteria'!L318</f>
        <v>0</v>
      </c>
      <c r="M1412" s="1936">
        <f>'Part VIII-Threshold Criteria'!M318</f>
        <v>0</v>
      </c>
      <c r="N1412" s="1936">
        <f>'Part VIII-Threshold Criteria'!N318</f>
        <v>0</v>
      </c>
      <c r="O1412" s="1936">
        <f>'Part VIII-Threshold Criteria'!O318</f>
        <v>0</v>
      </c>
      <c r="P1412" s="1936">
        <f>'Part VIII-Threshold Criteria'!P318</f>
        <v>0</v>
      </c>
      <c r="Q1412" s="1936">
        <f>'Part VIII-Threshold Criteria'!Q318</f>
        <v>0</v>
      </c>
    </row>
    <row r="1413" spans="1:17">
      <c r="A1413" s="1819" t="s">
        <v>4148</v>
      </c>
      <c r="B1413" s="1818" t="s">
        <v>2683</v>
      </c>
      <c r="C1413" s="1818"/>
      <c r="D1413" s="1818"/>
      <c r="E1413" s="1818"/>
      <c r="F1413" s="1818"/>
      <c r="G1413" s="1818"/>
      <c r="H1413" s="1939"/>
      <c r="I1413" s="1939"/>
      <c r="J1413" s="1939"/>
      <c r="K1413" s="1939"/>
      <c r="L1413" s="1939"/>
      <c r="M1413" s="1939"/>
      <c r="O1413" s="1935" t="s">
        <v>1881</v>
      </c>
      <c r="P1413" s="1844">
        <f>'Part VIII-Threshold Criteria'!P319</f>
        <v>0</v>
      </c>
      <c r="Q1413" s="1844">
        <f>'Part VIII-Threshold Criteria'!Q319</f>
        <v>0</v>
      </c>
    </row>
    <row r="1414" spans="1:17">
      <c r="B1414" s="1156" t="s">
        <v>2268</v>
      </c>
      <c r="P1414" s="1942" t="str">
        <f>'Part VIII-Threshold Criteria'!P320</f>
        <v>No</v>
      </c>
      <c r="Q1414" s="1942">
        <f>'Part VIII-Threshold Criteria'!Q320</f>
        <v>0</v>
      </c>
    </row>
    <row r="1415" spans="1:17">
      <c r="B1415" s="1996" t="s">
        <v>2227</v>
      </c>
      <c r="C1415" s="1996"/>
      <c r="D1415" s="1996"/>
      <c r="E1415" s="1996"/>
      <c r="F1415" s="1996"/>
      <c r="G1415" s="1996"/>
      <c r="H1415" s="1996"/>
      <c r="I1415" s="1996"/>
      <c r="J1415" s="1996"/>
      <c r="K1415" s="1996"/>
      <c r="L1415" s="1996"/>
      <c r="P1415" s="1942" t="str">
        <f>'Part VIII-Threshold Criteria'!P321</f>
        <v>Yes</v>
      </c>
      <c r="Q1415" s="1942">
        <f>'Part VIII-Threshold Criteria'!Q321</f>
        <v>0</v>
      </c>
    </row>
    <row r="1416" spans="1:17">
      <c r="A1416" s="1973" t="s">
        <v>1999</v>
      </c>
      <c r="B1416" s="1969" t="s">
        <v>4799</v>
      </c>
      <c r="D1416" s="1872"/>
      <c r="E1416" s="1872"/>
      <c r="F1416" s="1872"/>
      <c r="G1416" s="1872"/>
      <c r="H1416" s="1872"/>
      <c r="I1416" s="1872"/>
      <c r="J1416" s="1872"/>
      <c r="K1416" s="1872"/>
      <c r="L1416" s="1872"/>
      <c r="M1416" s="1872"/>
      <c r="N1416" s="1987"/>
    </row>
    <row r="1417" spans="1:17" ht="12.75" customHeight="1">
      <c r="B1417" s="1936" t="s">
        <v>2899</v>
      </c>
      <c r="C1417" s="1936"/>
      <c r="D1417" s="1936"/>
      <c r="E1417" s="1936"/>
      <c r="F1417" s="1936"/>
      <c r="G1417" s="1936"/>
      <c r="H1417" s="1936"/>
      <c r="I1417" s="1936"/>
      <c r="J1417" s="1936"/>
      <c r="K1417" s="1936"/>
      <c r="L1417" s="1936"/>
      <c r="M1417" s="1936"/>
      <c r="N1417" s="1936"/>
      <c r="O1417" s="1987" t="s">
        <v>1999</v>
      </c>
      <c r="P1417" s="1988">
        <f>'Part VIII-Threshold Criteria'!P323</f>
        <v>0</v>
      </c>
      <c r="Q1417" s="1988">
        <f>'Part VIII-Threshold Criteria'!Q323</f>
        <v>0</v>
      </c>
    </row>
    <row r="1418" spans="1:17">
      <c r="A1418" s="1973" t="s">
        <v>2001</v>
      </c>
      <c r="B1418" s="1933" t="s">
        <v>464</v>
      </c>
      <c r="D1418" s="1933"/>
      <c r="E1418" s="1933"/>
      <c r="F1418" s="1933"/>
      <c r="G1418" s="1933"/>
      <c r="H1418" s="1933"/>
      <c r="I1418" s="1933"/>
      <c r="J1418" s="1933"/>
      <c r="K1418" s="1933"/>
      <c r="L1418" s="1933"/>
      <c r="M1418" s="1933"/>
      <c r="O1418" s="1987" t="s">
        <v>2001</v>
      </c>
      <c r="P1418" s="1836"/>
      <c r="Q1418" s="1836"/>
    </row>
    <row r="1419" spans="1:17" ht="12.75" customHeight="1">
      <c r="B1419" s="1991" t="s">
        <v>1750</v>
      </c>
      <c r="C1419" s="1961" t="s">
        <v>1141</v>
      </c>
      <c r="E1419" s="1953"/>
      <c r="F1419" s="1953"/>
      <c r="G1419" s="1936" t="str">
        <f>'Part VIII-Threshold Criteria'!G325</f>
        <v>Exterior wall faces must have an excess of 30% brick or natural or manufactured stone on each of the exterior wall surfaces.  This is NOT applicable to the interior wall faces of open breezeways</v>
      </c>
      <c r="H1419" s="1775">
        <f>'Part VIII-Threshold Criteria'!H325</f>
        <v>0</v>
      </c>
      <c r="I1419" s="1775">
        <f>'Part VIII-Threshold Criteria'!I325</f>
        <v>0</v>
      </c>
      <c r="J1419" s="1775">
        <f>'Part VIII-Threshold Criteria'!J325</f>
        <v>0</v>
      </c>
      <c r="K1419" s="1775">
        <f>'Part VIII-Threshold Criteria'!K325</f>
        <v>0</v>
      </c>
      <c r="L1419" s="1775">
        <f>'Part VIII-Threshold Criteria'!L325</f>
        <v>0</v>
      </c>
      <c r="M1419" s="1775">
        <f>'Part VIII-Threshold Criteria'!M325</f>
        <v>0</v>
      </c>
      <c r="N1419" s="1775">
        <f>'Part VIII-Threshold Criteria'!N325</f>
        <v>0</v>
      </c>
      <c r="O1419" s="1987" t="s">
        <v>1750</v>
      </c>
      <c r="P1419" s="1988" t="str">
        <f>'Part VIII-Threshold Criteria'!P325</f>
        <v>Yes</v>
      </c>
      <c r="Q1419" s="1988">
        <f>'Part VIII-Threshold Criteria'!Q325</f>
        <v>0</v>
      </c>
    </row>
    <row r="1420" spans="1:17" ht="12.75" customHeight="1">
      <c r="B1420" s="1991" t="s">
        <v>1751</v>
      </c>
      <c r="C1420" s="1936" t="s">
        <v>1142</v>
      </c>
      <c r="D1420" s="1936"/>
      <c r="E1420" s="1936"/>
      <c r="F1420" s="1936"/>
      <c r="G1420" s="1936" t="str">
        <f>'Part VIII-Threshold Criteria'!G326</f>
        <v xml:space="preserve">Fiber cement siding or other 30 year warranty product installed on all exterior wall surfaces not already required to be brick </v>
      </c>
      <c r="H1420" s="1775">
        <f>'Part VIII-Threshold Criteria'!H326</f>
        <v>0</v>
      </c>
      <c r="I1420" s="1775">
        <f>'Part VIII-Threshold Criteria'!I326</f>
        <v>0</v>
      </c>
      <c r="J1420" s="1775">
        <f>'Part VIII-Threshold Criteria'!J326</f>
        <v>0</v>
      </c>
      <c r="K1420" s="1775">
        <f>'Part VIII-Threshold Criteria'!K326</f>
        <v>0</v>
      </c>
      <c r="L1420" s="1775">
        <f>'Part VIII-Threshold Criteria'!L326</f>
        <v>0</v>
      </c>
      <c r="M1420" s="1775">
        <f>'Part VIII-Threshold Criteria'!M326</f>
        <v>0</v>
      </c>
      <c r="N1420" s="1775">
        <f>'Part VIII-Threshold Criteria'!N326</f>
        <v>0</v>
      </c>
      <c r="O1420" s="1987" t="s">
        <v>1751</v>
      </c>
      <c r="P1420" s="1988" t="str">
        <f>'Part VIII-Threshold Criteria'!P326</f>
        <v>Yes</v>
      </c>
      <c r="Q1420" s="1988">
        <f>'Part VIII-Threshold Criteria'!Q326</f>
        <v>0</v>
      </c>
    </row>
    <row r="1421" spans="1:17">
      <c r="A1421" s="1836"/>
      <c r="C1421" s="1836"/>
      <c r="D1421" s="1836"/>
      <c r="E1421" s="1836"/>
      <c r="F1421" s="1836"/>
      <c r="G1421" s="1836"/>
      <c r="H1421" s="1836"/>
      <c r="I1421" s="1836"/>
      <c r="J1421" s="1836"/>
      <c r="K1421" s="1836"/>
      <c r="L1421" s="1836"/>
      <c r="M1421" s="1836"/>
      <c r="N1421" s="1836"/>
      <c r="O1421" s="1836"/>
      <c r="P1421" s="1836"/>
      <c r="Q1421" s="1836"/>
    </row>
    <row r="1422" spans="1:17" ht="12.75" customHeight="1">
      <c r="A1422" s="1973" t="s">
        <v>757</v>
      </c>
      <c r="B1422" s="2011" t="s">
        <v>4800</v>
      </c>
      <c r="C1422" s="2011"/>
      <c r="D1422" s="2011"/>
      <c r="E1422" s="2011"/>
      <c r="F1422" s="2011"/>
      <c r="G1422" s="2011"/>
      <c r="H1422" s="2011"/>
      <c r="I1422" s="2011"/>
      <c r="J1422" s="2011"/>
      <c r="K1422" s="2011"/>
      <c r="L1422" s="2011"/>
      <c r="M1422" s="2011"/>
      <c r="N1422" s="2011"/>
      <c r="O1422" s="1997" t="s">
        <v>757</v>
      </c>
      <c r="P1422" s="1836"/>
      <c r="Q1422" s="1836"/>
    </row>
    <row r="1423" spans="1:17">
      <c r="A1423" s="1976"/>
      <c r="B1423" s="1991" t="s">
        <v>1750</v>
      </c>
      <c r="C1423" s="1936">
        <f>'Part VIII-Threshold Criteria'!C329</f>
        <v>0</v>
      </c>
      <c r="D1423" s="1936">
        <f>'Part VIII-Threshold Criteria'!D329</f>
        <v>0</v>
      </c>
      <c r="E1423" s="1936">
        <f>'Part VIII-Threshold Criteria'!E329</f>
        <v>0</v>
      </c>
      <c r="F1423" s="1936">
        <f>'Part VIII-Threshold Criteria'!F329</f>
        <v>0</v>
      </c>
      <c r="G1423" s="1936">
        <f>'Part VIII-Threshold Criteria'!G329</f>
        <v>0</v>
      </c>
      <c r="H1423" s="1936">
        <f>'Part VIII-Threshold Criteria'!H329</f>
        <v>0</v>
      </c>
      <c r="I1423" s="1936">
        <f>'Part VIII-Threshold Criteria'!I329</f>
        <v>0</v>
      </c>
      <c r="J1423" s="1936">
        <f>'Part VIII-Threshold Criteria'!J329</f>
        <v>0</v>
      </c>
      <c r="K1423" s="1936">
        <f>'Part VIII-Threshold Criteria'!K329</f>
        <v>0</v>
      </c>
      <c r="L1423" s="1936">
        <f>'Part VIII-Threshold Criteria'!L329</f>
        <v>0</v>
      </c>
      <c r="M1423" s="1936">
        <f>'Part VIII-Threshold Criteria'!M329</f>
        <v>0</v>
      </c>
      <c r="N1423" s="1936">
        <f>'Part VIII-Threshold Criteria'!N329</f>
        <v>0</v>
      </c>
      <c r="O1423" s="1987" t="s">
        <v>1750</v>
      </c>
      <c r="P1423" s="1988">
        <f>'Part VIII-Threshold Criteria'!P329</f>
        <v>0</v>
      </c>
      <c r="Q1423" s="1988">
        <f>'Part VIII-Threshold Criteria'!Q329</f>
        <v>0</v>
      </c>
    </row>
    <row r="1424" spans="1:17">
      <c r="A1424" s="1976"/>
      <c r="B1424" s="1991" t="s">
        <v>1751</v>
      </c>
      <c r="C1424" s="1936">
        <f>'Part VIII-Threshold Criteria'!C330</f>
        <v>0</v>
      </c>
      <c r="D1424" s="1936">
        <f>'Part VIII-Threshold Criteria'!D330</f>
        <v>0</v>
      </c>
      <c r="E1424" s="1936">
        <f>'Part VIII-Threshold Criteria'!E330</f>
        <v>0</v>
      </c>
      <c r="F1424" s="1936">
        <f>'Part VIII-Threshold Criteria'!F330</f>
        <v>0</v>
      </c>
      <c r="G1424" s="1936">
        <f>'Part VIII-Threshold Criteria'!G330</f>
        <v>0</v>
      </c>
      <c r="H1424" s="1936">
        <f>'Part VIII-Threshold Criteria'!H330</f>
        <v>0</v>
      </c>
      <c r="I1424" s="1936">
        <f>'Part VIII-Threshold Criteria'!I330</f>
        <v>0</v>
      </c>
      <c r="J1424" s="1936">
        <f>'Part VIII-Threshold Criteria'!J330</f>
        <v>0</v>
      </c>
      <c r="K1424" s="1936">
        <f>'Part VIII-Threshold Criteria'!K330</f>
        <v>0</v>
      </c>
      <c r="L1424" s="1936">
        <f>'Part VIII-Threshold Criteria'!L330</f>
        <v>0</v>
      </c>
      <c r="M1424" s="1936">
        <f>'Part VIII-Threshold Criteria'!M330</f>
        <v>0</v>
      </c>
      <c r="N1424" s="1936">
        <f>'Part VIII-Threshold Criteria'!N330</f>
        <v>0</v>
      </c>
      <c r="O1424" s="1987" t="s">
        <v>1751</v>
      </c>
      <c r="P1424" s="1988">
        <f>'Part VIII-Threshold Criteria'!P330</f>
        <v>0</v>
      </c>
      <c r="Q1424" s="1988">
        <f>'Part VIII-Threshold Criteria'!Q330</f>
        <v>0</v>
      </c>
    </row>
    <row r="1425" spans="1:17">
      <c r="A1425" s="1836"/>
      <c r="B1425" s="1836"/>
      <c r="C1425" s="1836"/>
      <c r="D1425" s="1836"/>
      <c r="E1425" s="1836"/>
      <c r="F1425" s="1836"/>
      <c r="G1425" s="1836"/>
      <c r="H1425" s="1836"/>
      <c r="I1425" s="1836"/>
      <c r="J1425" s="1836"/>
      <c r="K1425" s="1836"/>
      <c r="L1425" s="1836"/>
      <c r="M1425" s="1836"/>
      <c r="N1425" s="1836"/>
      <c r="O1425" s="1836"/>
      <c r="P1425" s="1836"/>
      <c r="Q1425" s="1836"/>
    </row>
    <row r="1426" spans="1:17">
      <c r="B1426" s="1873" t="s">
        <v>3779</v>
      </c>
      <c r="D1426" s="1873"/>
      <c r="E1426" s="1873"/>
      <c r="F1426" s="1873"/>
      <c r="G1426" s="1873"/>
      <c r="H1426" s="1872"/>
      <c r="I1426" s="1934"/>
      <c r="J1426" s="1934"/>
      <c r="K1426" s="1934"/>
      <c r="L1426" s="1836"/>
      <c r="M1426" s="1836"/>
      <c r="N1426" s="1836"/>
      <c r="O1426" s="1836"/>
      <c r="P1426" s="1836"/>
      <c r="Q1426" s="1836"/>
    </row>
    <row r="1427" spans="1:17" ht="409.5">
      <c r="A1427" s="1936" t="str">
        <f>'Part VIII-Threshold Criteria'!A333</f>
        <v>Tindall Fields III meets Threshold approval for A/E design and quality standards because the Partnership, In-Fill Housing II, Inc. and the A/E team are all very familiar with these DCA requirements; Tindall Fields III will be in full compliance with the quality and longevity requirements and standard design options requirements under this section.  Furthermore, please see Tab 15-01 where the two options selected are noted on the Conceptual Site Plan.</v>
      </c>
      <c r="B1427" s="1936">
        <f>'Part VIII-Threshold Criteria'!B333</f>
        <v>0</v>
      </c>
      <c r="C1427" s="1936">
        <f>'Part VIII-Threshold Criteria'!C333</f>
        <v>0</v>
      </c>
      <c r="D1427" s="1936">
        <f>'Part VIII-Threshold Criteria'!D333</f>
        <v>0</v>
      </c>
      <c r="E1427" s="1936">
        <f>'Part VIII-Threshold Criteria'!E333</f>
        <v>0</v>
      </c>
      <c r="F1427" s="1936">
        <f>'Part VIII-Threshold Criteria'!F333</f>
        <v>0</v>
      </c>
      <c r="G1427" s="1936">
        <f>'Part VIII-Threshold Criteria'!G333</f>
        <v>0</v>
      </c>
      <c r="H1427" s="1936">
        <f>'Part VIII-Threshold Criteria'!H333</f>
        <v>0</v>
      </c>
      <c r="I1427" s="1936">
        <f>'Part VIII-Threshold Criteria'!I333</f>
        <v>0</v>
      </c>
      <c r="J1427" s="1936">
        <f>'Part VIII-Threshold Criteria'!J333</f>
        <v>0</v>
      </c>
      <c r="K1427" s="1936">
        <f>'Part VIII-Threshold Criteria'!K333</f>
        <v>0</v>
      </c>
      <c r="L1427" s="1936">
        <f>'Part VIII-Threshold Criteria'!L333</f>
        <v>0</v>
      </c>
      <c r="M1427" s="1936">
        <f>'Part VIII-Threshold Criteria'!M333</f>
        <v>0</v>
      </c>
      <c r="N1427" s="1936">
        <f>'Part VIII-Threshold Criteria'!N333</f>
        <v>0</v>
      </c>
      <c r="O1427" s="1936">
        <f>'Part VIII-Threshold Criteria'!O333</f>
        <v>0</v>
      </c>
      <c r="P1427" s="1936">
        <f>'Part VIII-Threshold Criteria'!P333</f>
        <v>0</v>
      </c>
      <c r="Q1427" s="1936">
        <f>'Part VIII-Threshold Criteria'!Q333</f>
        <v>0</v>
      </c>
    </row>
    <row r="1428" spans="1:17">
      <c r="B1428" s="1937" t="s">
        <v>1880</v>
      </c>
      <c r="C1428" s="1938"/>
      <c r="D1428" s="1939"/>
      <c r="E1428" s="1939"/>
      <c r="F1428" s="1939"/>
      <c r="G1428" s="1939"/>
      <c r="H1428" s="1939"/>
      <c r="I1428" s="1939"/>
      <c r="J1428" s="1939"/>
      <c r="K1428" s="1939"/>
      <c r="L1428" s="1939"/>
      <c r="M1428" s="1939"/>
      <c r="N1428" s="1939"/>
      <c r="O1428" s="1939"/>
      <c r="P1428" s="1939"/>
      <c r="Q1428" s="1939"/>
    </row>
    <row r="1429" spans="1:17">
      <c r="A1429" s="1936">
        <f>'Part VIII-Threshold Criteria'!A335</f>
        <v>0</v>
      </c>
      <c r="B1429" s="1936">
        <f>'Part VIII-Threshold Criteria'!B335</f>
        <v>0</v>
      </c>
      <c r="C1429" s="1936">
        <f>'Part VIII-Threshold Criteria'!C335</f>
        <v>0</v>
      </c>
      <c r="D1429" s="1936">
        <f>'Part VIII-Threshold Criteria'!D335</f>
        <v>0</v>
      </c>
      <c r="E1429" s="1936">
        <f>'Part VIII-Threshold Criteria'!E335</f>
        <v>0</v>
      </c>
      <c r="F1429" s="1936">
        <f>'Part VIII-Threshold Criteria'!F335</f>
        <v>0</v>
      </c>
      <c r="G1429" s="1936">
        <f>'Part VIII-Threshold Criteria'!G335</f>
        <v>0</v>
      </c>
      <c r="H1429" s="1936">
        <f>'Part VIII-Threshold Criteria'!H335</f>
        <v>0</v>
      </c>
      <c r="I1429" s="1936">
        <f>'Part VIII-Threshold Criteria'!I335</f>
        <v>0</v>
      </c>
      <c r="J1429" s="1936">
        <f>'Part VIII-Threshold Criteria'!J335</f>
        <v>0</v>
      </c>
      <c r="K1429" s="1936">
        <f>'Part VIII-Threshold Criteria'!K335</f>
        <v>0</v>
      </c>
      <c r="L1429" s="1936">
        <f>'Part VIII-Threshold Criteria'!L335</f>
        <v>0</v>
      </c>
      <c r="M1429" s="1936">
        <f>'Part VIII-Threshold Criteria'!M335</f>
        <v>0</v>
      </c>
      <c r="N1429" s="1936">
        <f>'Part VIII-Threshold Criteria'!N335</f>
        <v>0</v>
      </c>
      <c r="O1429" s="1936">
        <f>'Part VIII-Threshold Criteria'!O335</f>
        <v>0</v>
      </c>
      <c r="P1429" s="1936">
        <f>'Part VIII-Threshold Criteria'!P335</f>
        <v>0</v>
      </c>
      <c r="Q1429" s="1936">
        <f>'Part VIII-Threshold Criteria'!Q335</f>
        <v>0</v>
      </c>
    </row>
    <row r="1430" spans="1:17">
      <c r="A1430" s="1819" t="s">
        <v>4151</v>
      </c>
      <c r="B1430" s="1819" t="s">
        <v>4190</v>
      </c>
      <c r="C1430" s="1819"/>
      <c r="D1430" s="1939"/>
      <c r="E1430" s="1939"/>
      <c r="F1430" s="1939"/>
      <c r="G1430" s="1939"/>
      <c r="H1430" s="1939"/>
      <c r="O1430" s="1935" t="s">
        <v>1881</v>
      </c>
      <c r="P1430" s="1844">
        <f>'Part VIII-Threshold Criteria'!P336</f>
        <v>0</v>
      </c>
      <c r="Q1430" s="1844">
        <f>'Part VIII-Threshold Criteria'!Q336</f>
        <v>0</v>
      </c>
    </row>
    <row r="1431" spans="1:17">
      <c r="A1431" s="1975" t="s">
        <v>1999</v>
      </c>
      <c r="B1431" s="1156" t="s">
        <v>3946</v>
      </c>
      <c r="O1431" s="1987" t="s">
        <v>1999</v>
      </c>
      <c r="P1431" s="1942" t="str">
        <f>'Part VIII-Threshold Criteria'!P337</f>
        <v>Yes</v>
      </c>
      <c r="Q1431" s="1942">
        <f>'Part VIII-Threshold Criteria'!Q337</f>
        <v>0</v>
      </c>
    </row>
    <row r="1432" spans="1:17">
      <c r="A1432" s="1973" t="s">
        <v>2001</v>
      </c>
      <c r="B1432" s="1156" t="s">
        <v>4135</v>
      </c>
      <c r="O1432" s="1987" t="s">
        <v>2001</v>
      </c>
      <c r="P1432" s="1942" t="str">
        <f>'Part VIII-Threshold Criteria'!P338</f>
        <v>Yes</v>
      </c>
      <c r="Q1432" s="1942">
        <f>'Part VIII-Threshold Criteria'!Q338</f>
        <v>0</v>
      </c>
    </row>
    <row r="1433" spans="1:17">
      <c r="A1433" s="1973" t="s">
        <v>757</v>
      </c>
      <c r="B1433" s="1156" t="s">
        <v>2366</v>
      </c>
      <c r="O1433" s="1987" t="s">
        <v>757</v>
      </c>
      <c r="P1433" s="1942" t="str">
        <f>'Part VIII-Threshold Criteria'!P339</f>
        <v>No</v>
      </c>
      <c r="Q1433" s="1942">
        <f>'Part VIII-Threshold Criteria'!Q339</f>
        <v>0</v>
      </c>
    </row>
    <row r="1434" spans="1:17">
      <c r="A1434" s="1975" t="s">
        <v>2131</v>
      </c>
      <c r="B1434" s="1156" t="s">
        <v>3871</v>
      </c>
      <c r="O1434" s="1977" t="s">
        <v>2131</v>
      </c>
      <c r="P1434" s="1942" t="str">
        <f>'Part VIII-Threshold Criteria'!P340</f>
        <v>No</v>
      </c>
      <c r="Q1434" s="1942">
        <f>'Part VIII-Threshold Criteria'!Q340</f>
        <v>0</v>
      </c>
    </row>
    <row r="1435" spans="1:17">
      <c r="A1435" s="1973" t="s">
        <v>1748</v>
      </c>
      <c r="B1435" s="1156" t="s">
        <v>2902</v>
      </c>
      <c r="N1435" s="1987" t="s">
        <v>1748</v>
      </c>
      <c r="O1435" s="1642" t="str">
        <f>'Part VIII-Threshold Criteria'!O341</f>
        <v>Certifying GP/Developer</v>
      </c>
      <c r="P1435" s="1642">
        <f>'Part VIII-Threshold Criteria'!P341</f>
        <v>0</v>
      </c>
      <c r="Q1435" s="1642">
        <f>'Part VIII-Threshold Criteria'!Q341</f>
        <v>0</v>
      </c>
    </row>
    <row r="1436" spans="1:17">
      <c r="A1436" s="1973" t="s">
        <v>1749</v>
      </c>
      <c r="B1436" s="1993" t="s">
        <v>2367</v>
      </c>
      <c r="N1436" s="1987" t="s">
        <v>1749</v>
      </c>
      <c r="O1436" s="1642" t="str">
        <f>'Part VIII-Threshold Criteria'!O342</f>
        <v>&lt;&lt; Select Designation &gt;&gt;</v>
      </c>
      <c r="P1436" s="1642">
        <f>'Part VIII-Threshold Criteria'!P342</f>
        <v>0</v>
      </c>
      <c r="Q1436" s="1642">
        <f>'Part VIII-Threshold Criteria'!Q342</f>
        <v>0</v>
      </c>
    </row>
    <row r="1437" spans="1:17">
      <c r="B1437" s="1873" t="s">
        <v>3779</v>
      </c>
      <c r="D1437" s="1873"/>
      <c r="E1437" s="1873"/>
      <c r="F1437" s="1873"/>
      <c r="G1437" s="1873"/>
      <c r="H1437" s="1872"/>
      <c r="I1437" s="1934"/>
      <c r="J1437" s="1934"/>
      <c r="K1437" s="1934"/>
      <c r="L1437" s="1836"/>
      <c r="M1437" s="1836"/>
      <c r="N1437" s="1836"/>
      <c r="O1437" s="1836"/>
      <c r="P1437" s="1836"/>
      <c r="Q1437" s="1836"/>
    </row>
    <row r="1438" spans="1:17" ht="337.5">
      <c r="A1438" s="1936" t="str">
        <f>'Part VIII-Threshold Criteria'!A344</f>
        <v xml:space="preserve">Tindall Fields III meets experience, capacity and performance Threshold approval because In-Fill Housing II, Inc. submitted a Pre-Application on March 8, 2018 and received a “Qualified” determination letter from DCA dated April 30, 2018. Please see the supporting documentation at Tab 19-01. </v>
      </c>
      <c r="B1438" s="1936">
        <f>'Part VIII-Threshold Criteria'!B344</f>
        <v>0</v>
      </c>
      <c r="C1438" s="1936">
        <f>'Part VIII-Threshold Criteria'!C344</f>
        <v>0</v>
      </c>
      <c r="D1438" s="1936">
        <f>'Part VIII-Threshold Criteria'!D344</f>
        <v>0</v>
      </c>
      <c r="E1438" s="1936">
        <f>'Part VIII-Threshold Criteria'!E344</f>
        <v>0</v>
      </c>
      <c r="F1438" s="1936">
        <f>'Part VIII-Threshold Criteria'!F344</f>
        <v>0</v>
      </c>
      <c r="G1438" s="1936">
        <f>'Part VIII-Threshold Criteria'!G344</f>
        <v>0</v>
      </c>
      <c r="H1438" s="1936">
        <f>'Part VIII-Threshold Criteria'!H344</f>
        <v>0</v>
      </c>
      <c r="I1438" s="1936">
        <f>'Part VIII-Threshold Criteria'!I344</f>
        <v>0</v>
      </c>
      <c r="J1438" s="1936">
        <f>'Part VIII-Threshold Criteria'!J344</f>
        <v>0</v>
      </c>
      <c r="K1438" s="1936">
        <f>'Part VIII-Threshold Criteria'!K344</f>
        <v>0</v>
      </c>
      <c r="L1438" s="1936">
        <f>'Part VIII-Threshold Criteria'!L344</f>
        <v>0</v>
      </c>
      <c r="M1438" s="1936">
        <f>'Part VIII-Threshold Criteria'!M344</f>
        <v>0</v>
      </c>
      <c r="N1438" s="1936">
        <f>'Part VIII-Threshold Criteria'!N344</f>
        <v>0</v>
      </c>
      <c r="O1438" s="1936">
        <f>'Part VIII-Threshold Criteria'!O344</f>
        <v>0</v>
      </c>
      <c r="P1438" s="1936">
        <f>'Part VIII-Threshold Criteria'!P344</f>
        <v>0</v>
      </c>
      <c r="Q1438" s="1936">
        <f>'Part VIII-Threshold Criteria'!Q344</f>
        <v>0</v>
      </c>
    </row>
    <row r="1439" spans="1:17">
      <c r="B1439" s="1937" t="s">
        <v>1880</v>
      </c>
      <c r="C1439" s="1938"/>
      <c r="D1439" s="1939"/>
      <c r="E1439" s="1939"/>
      <c r="F1439" s="1939"/>
      <c r="G1439" s="1939"/>
      <c r="H1439" s="1939"/>
      <c r="I1439" s="1939"/>
      <c r="J1439" s="1939"/>
      <c r="K1439" s="1939"/>
      <c r="L1439" s="1939"/>
      <c r="M1439" s="1939"/>
      <c r="N1439" s="1939"/>
      <c r="O1439" s="1939"/>
      <c r="P1439" s="1939"/>
      <c r="Q1439" s="1939"/>
    </row>
    <row r="1440" spans="1:17">
      <c r="A1440" s="1936">
        <f>'Part VIII-Threshold Criteria'!A346</f>
        <v>0</v>
      </c>
      <c r="B1440" s="1936">
        <f>'Part VIII-Threshold Criteria'!B346</f>
        <v>0</v>
      </c>
      <c r="C1440" s="1936">
        <f>'Part VIII-Threshold Criteria'!C346</f>
        <v>0</v>
      </c>
      <c r="D1440" s="1936">
        <f>'Part VIII-Threshold Criteria'!D346</f>
        <v>0</v>
      </c>
      <c r="E1440" s="1936">
        <f>'Part VIII-Threshold Criteria'!E346</f>
        <v>0</v>
      </c>
      <c r="F1440" s="1936">
        <f>'Part VIII-Threshold Criteria'!F346</f>
        <v>0</v>
      </c>
      <c r="G1440" s="1936">
        <f>'Part VIII-Threshold Criteria'!G346</f>
        <v>0</v>
      </c>
      <c r="H1440" s="1936">
        <f>'Part VIII-Threshold Criteria'!H346</f>
        <v>0</v>
      </c>
      <c r="I1440" s="1936">
        <f>'Part VIII-Threshold Criteria'!I346</f>
        <v>0</v>
      </c>
      <c r="J1440" s="1936">
        <f>'Part VIII-Threshold Criteria'!J346</f>
        <v>0</v>
      </c>
      <c r="K1440" s="1936">
        <f>'Part VIII-Threshold Criteria'!K346</f>
        <v>0</v>
      </c>
      <c r="L1440" s="1936">
        <f>'Part VIII-Threshold Criteria'!L346</f>
        <v>0</v>
      </c>
      <c r="M1440" s="1936">
        <f>'Part VIII-Threshold Criteria'!M346</f>
        <v>0</v>
      </c>
      <c r="N1440" s="1936">
        <f>'Part VIII-Threshold Criteria'!N346</f>
        <v>0</v>
      </c>
      <c r="O1440" s="1936">
        <f>'Part VIII-Threshold Criteria'!O346</f>
        <v>0</v>
      </c>
      <c r="P1440" s="1936">
        <f>'Part VIII-Threshold Criteria'!P346</f>
        <v>0</v>
      </c>
      <c r="Q1440" s="1936">
        <f>'Part VIII-Threshold Criteria'!Q346</f>
        <v>0</v>
      </c>
    </row>
    <row r="1441" spans="1:17">
      <c r="A1441" s="1819" t="s">
        <v>4152</v>
      </c>
      <c r="B1441" s="1818" t="s">
        <v>2684</v>
      </c>
      <c r="C1441" s="1818"/>
      <c r="D1441" s="1933"/>
      <c r="E1441" s="1939"/>
      <c r="F1441" s="1939"/>
      <c r="G1441" s="1939"/>
      <c r="H1441" s="1939"/>
      <c r="I1441" s="1939"/>
      <c r="J1441" s="1939"/>
      <c r="K1441" s="1939"/>
      <c r="L1441" s="1939"/>
      <c r="M1441" s="1939"/>
      <c r="O1441" s="1935" t="s">
        <v>1881</v>
      </c>
      <c r="P1441" s="1844">
        <f>'Part VIII-Threshold Criteria'!P347</f>
        <v>0</v>
      </c>
      <c r="Q1441" s="1844">
        <f>'Part VIII-Threshold Criteria'!Q347</f>
        <v>0</v>
      </c>
    </row>
    <row r="1442" spans="1:17">
      <c r="A1442" s="1973" t="s">
        <v>1999</v>
      </c>
      <c r="B1442" s="1961" t="s">
        <v>3683</v>
      </c>
      <c r="D1442" s="1961"/>
      <c r="E1442" s="1961"/>
      <c r="F1442" s="1961"/>
      <c r="G1442" s="1961"/>
      <c r="H1442" s="1961"/>
      <c r="I1442" s="1961"/>
      <c r="J1442" s="1961"/>
      <c r="K1442" s="1961"/>
      <c r="L1442" s="1961"/>
      <c r="M1442" s="1961"/>
      <c r="N1442" s="1961"/>
      <c r="O1442" s="1987" t="s">
        <v>1999</v>
      </c>
      <c r="P1442" s="1942" t="str">
        <f>'Part VIII-Threshold Criteria'!P348</f>
        <v>Yes</v>
      </c>
      <c r="Q1442" s="1942">
        <f>'Part VIII-Threshold Criteria'!Q348</f>
        <v>0</v>
      </c>
    </row>
    <row r="1443" spans="1:17">
      <c r="A1443" s="1973" t="s">
        <v>2001</v>
      </c>
      <c r="B1443" s="1961" t="s">
        <v>3880</v>
      </c>
      <c r="D1443" s="1961"/>
      <c r="E1443" s="1961"/>
      <c r="F1443" s="1961"/>
      <c r="G1443" s="1961"/>
      <c r="H1443" s="1961"/>
      <c r="I1443" s="1961"/>
      <c r="J1443" s="1961"/>
      <c r="K1443" s="1961"/>
      <c r="L1443" s="1961"/>
      <c r="M1443" s="1961"/>
      <c r="N1443" s="1961"/>
      <c r="O1443" s="1987" t="s">
        <v>2001</v>
      </c>
      <c r="P1443" s="1942" t="str">
        <f>'Part VIII-Threshold Criteria'!P349</f>
        <v>Yes</v>
      </c>
      <c r="Q1443" s="1942">
        <f>'Part VIII-Threshold Criteria'!Q349</f>
        <v>0</v>
      </c>
    </row>
    <row r="1444" spans="1:17" ht="12.75" customHeight="1">
      <c r="A1444" s="1973" t="s">
        <v>757</v>
      </c>
      <c r="B1444" s="1936" t="s">
        <v>4136</v>
      </c>
      <c r="C1444" s="1936"/>
      <c r="D1444" s="1936"/>
      <c r="E1444" s="1936"/>
      <c r="F1444" s="1936"/>
      <c r="G1444" s="1936"/>
      <c r="H1444" s="1936"/>
      <c r="I1444" s="1936"/>
      <c r="J1444" s="1936"/>
      <c r="K1444" s="1936"/>
      <c r="L1444" s="1936"/>
      <c r="M1444" s="1936"/>
      <c r="N1444" s="1936"/>
      <c r="O1444" s="1987" t="s">
        <v>757</v>
      </c>
      <c r="P1444" s="1942" t="str">
        <f>'Part VIII-Threshold Criteria'!P350</f>
        <v>Yes</v>
      </c>
      <c r="Q1444" s="1942">
        <f>'Part VIII-Threshold Criteria'!Q350</f>
        <v>0</v>
      </c>
    </row>
    <row r="1445" spans="1:17">
      <c r="B1445" s="1873" t="s">
        <v>3779</v>
      </c>
      <c r="D1445" s="1873"/>
      <c r="E1445" s="1873"/>
      <c r="F1445" s="1873"/>
      <c r="G1445" s="1873"/>
      <c r="H1445" s="1872"/>
      <c r="I1445" s="1934"/>
      <c r="J1445" s="1934"/>
      <c r="K1445" s="1934"/>
      <c r="L1445" s="1836"/>
      <c r="M1445" s="1836"/>
      <c r="N1445" s="1836"/>
      <c r="O1445" s="1836"/>
      <c r="P1445" s="1836"/>
      <c r="Q1445" s="1836"/>
    </row>
    <row r="1446" spans="1:17" ht="409.5">
      <c r="A1446" s="1936" t="str">
        <f>'Part VIII-Threshold Criteria'!A352</f>
        <v xml:space="preserve">Tindall Fields III meets Threshold approval because we submitted a Pre-Application on March 8, 2018 and received a Qualified determination letter from DCA dated April 30, 2018.  There have been no changes in the Project Team since then.  
B. Compliance: Tindall Fields III meets threshold based on In-Fill Housing II, Inc.’s and its related entities’ longstanding exemplary compliance record. 
Effective May 21, 2018, one 8823 is currently open at Kingston Gardens Apartments (2005-048) due to a unit fire.  The unit is currently under Casualty Loss and all LIHTC due diligence has been completed.  The circumstances are as follows:   Unit E2 was inspected during a DCA review on 11/8/17, and all EH&amp;S items were cured within the allotted 24 hour period.  However, prior to receiving the final DCA report on 1/22/18, the unit incurred serious fire damage on 1/3/2018.  We immediately began the process of bringing the unit back  on line, the unit was demoed and prepped by 2/20/18; however, despite our best efforts we were unable to completely restore the unit by the review deadline of 3/9/18.  At this time, we fully expect our contractors to complete all of the work and restore the unit to habitability by 6/15/18, at which time DCA has informed us that they will submit a corrected 8823 to the IRS.  
Despite this outstanding item, we have successfully developed and own sixteen properties in Georgia. Please see Tab 43-02-00 for Compliance History Summary. </v>
      </c>
      <c r="B1446" s="1936">
        <f>'Part VIII-Threshold Criteria'!B352</f>
        <v>0</v>
      </c>
      <c r="C1446" s="1936">
        <f>'Part VIII-Threshold Criteria'!C352</f>
        <v>0</v>
      </c>
      <c r="D1446" s="1936">
        <f>'Part VIII-Threshold Criteria'!D352</f>
        <v>0</v>
      </c>
      <c r="E1446" s="1936">
        <f>'Part VIII-Threshold Criteria'!E352</f>
        <v>0</v>
      </c>
      <c r="F1446" s="1936">
        <f>'Part VIII-Threshold Criteria'!F352</f>
        <v>0</v>
      </c>
      <c r="G1446" s="1936">
        <f>'Part VIII-Threshold Criteria'!G352</f>
        <v>0</v>
      </c>
      <c r="H1446" s="1936">
        <f>'Part VIII-Threshold Criteria'!H352</f>
        <v>0</v>
      </c>
      <c r="I1446" s="1936">
        <f>'Part VIII-Threshold Criteria'!I352</f>
        <v>0</v>
      </c>
      <c r="J1446" s="1936">
        <f>'Part VIII-Threshold Criteria'!J352</f>
        <v>0</v>
      </c>
      <c r="K1446" s="1936">
        <f>'Part VIII-Threshold Criteria'!K352</f>
        <v>0</v>
      </c>
      <c r="L1446" s="1936">
        <f>'Part VIII-Threshold Criteria'!L352</f>
        <v>0</v>
      </c>
      <c r="M1446" s="1936">
        <f>'Part VIII-Threshold Criteria'!M352</f>
        <v>0</v>
      </c>
      <c r="N1446" s="1936">
        <f>'Part VIII-Threshold Criteria'!N352</f>
        <v>0</v>
      </c>
      <c r="O1446" s="1936">
        <f>'Part VIII-Threshold Criteria'!O352</f>
        <v>0</v>
      </c>
      <c r="P1446" s="1936">
        <f>'Part VIII-Threshold Criteria'!P352</f>
        <v>0</v>
      </c>
      <c r="Q1446" s="1936">
        <f>'Part VIII-Threshold Criteria'!Q352</f>
        <v>0</v>
      </c>
    </row>
    <row r="1447" spans="1:17">
      <c r="B1447" s="1937" t="s">
        <v>1880</v>
      </c>
      <c r="C1447" s="1938"/>
      <c r="D1447" s="1939"/>
      <c r="E1447" s="1939"/>
      <c r="F1447" s="1939"/>
      <c r="G1447" s="1939"/>
      <c r="H1447" s="1939"/>
      <c r="I1447" s="1939"/>
      <c r="J1447" s="1939"/>
      <c r="K1447" s="1939"/>
      <c r="L1447" s="1939"/>
      <c r="M1447" s="1939"/>
      <c r="N1447" s="1939"/>
      <c r="O1447" s="1939"/>
      <c r="P1447" s="1939"/>
      <c r="Q1447" s="1939"/>
    </row>
    <row r="1448" spans="1:17">
      <c r="A1448" s="1936">
        <f>'Part VIII-Threshold Criteria'!A354</f>
        <v>0</v>
      </c>
      <c r="B1448" s="1936">
        <f>'Part VIII-Threshold Criteria'!B354</f>
        <v>0</v>
      </c>
      <c r="C1448" s="1936">
        <f>'Part VIII-Threshold Criteria'!C354</f>
        <v>0</v>
      </c>
      <c r="D1448" s="1936">
        <f>'Part VIII-Threshold Criteria'!D354</f>
        <v>0</v>
      </c>
      <c r="E1448" s="1936">
        <f>'Part VIII-Threshold Criteria'!E354</f>
        <v>0</v>
      </c>
      <c r="F1448" s="1936">
        <f>'Part VIII-Threshold Criteria'!F354</f>
        <v>0</v>
      </c>
      <c r="G1448" s="1936">
        <f>'Part VIII-Threshold Criteria'!G354</f>
        <v>0</v>
      </c>
      <c r="H1448" s="1936">
        <f>'Part VIII-Threshold Criteria'!H354</f>
        <v>0</v>
      </c>
      <c r="I1448" s="1936">
        <f>'Part VIII-Threshold Criteria'!I354</f>
        <v>0</v>
      </c>
      <c r="J1448" s="1936">
        <f>'Part VIII-Threshold Criteria'!J354</f>
        <v>0</v>
      </c>
      <c r="K1448" s="1936">
        <f>'Part VIII-Threshold Criteria'!K354</f>
        <v>0</v>
      </c>
      <c r="L1448" s="1936">
        <f>'Part VIII-Threshold Criteria'!L354</f>
        <v>0</v>
      </c>
      <c r="M1448" s="1936">
        <f>'Part VIII-Threshold Criteria'!M354</f>
        <v>0</v>
      </c>
      <c r="N1448" s="1936">
        <f>'Part VIII-Threshold Criteria'!N354</f>
        <v>0</v>
      </c>
      <c r="O1448" s="1936">
        <f>'Part VIII-Threshold Criteria'!O354</f>
        <v>0</v>
      </c>
      <c r="P1448" s="1936">
        <f>'Part VIII-Threshold Criteria'!P354</f>
        <v>0</v>
      </c>
      <c r="Q1448" s="1936">
        <f>'Part VIII-Threshold Criteria'!Q354</f>
        <v>0</v>
      </c>
    </row>
    <row r="1449" spans="1:17">
      <c r="A1449" s="1836"/>
      <c r="B1449" s="1934"/>
      <c r="C1449" s="1939"/>
      <c r="D1449" s="1939"/>
      <c r="E1449" s="1939"/>
      <c r="F1449" s="1939"/>
      <c r="G1449" s="1939"/>
      <c r="H1449" s="1939"/>
      <c r="I1449" s="1939"/>
      <c r="J1449" s="1939"/>
      <c r="K1449" s="1939"/>
      <c r="L1449" s="1939"/>
      <c r="M1449" s="1939"/>
      <c r="N1449" s="1939"/>
      <c r="O1449" s="1939"/>
      <c r="P1449" s="1939"/>
      <c r="Q1449" s="1836"/>
    </row>
    <row r="1450" spans="1:17">
      <c r="A1450" s="1819" t="s">
        <v>4155</v>
      </c>
      <c r="B1450" s="1818" t="s">
        <v>4122</v>
      </c>
      <c r="C1450" s="1818"/>
      <c r="D1450" s="1818"/>
      <c r="E1450" s="1818"/>
      <c r="F1450" s="1818"/>
      <c r="G1450" s="1818"/>
      <c r="H1450" s="1939"/>
      <c r="I1450" s="1939"/>
      <c r="J1450" s="1939"/>
      <c r="K1450" s="1939"/>
      <c r="L1450" s="1939"/>
      <c r="M1450" s="1939"/>
      <c r="O1450" s="1935" t="s">
        <v>1881</v>
      </c>
      <c r="P1450" s="1844">
        <f>'Part VIII-Threshold Criteria'!P356</f>
        <v>0</v>
      </c>
      <c r="Q1450" s="1844">
        <f>'Part VIII-Threshold Criteria'!Q356</f>
        <v>0</v>
      </c>
    </row>
    <row r="1451" spans="1:17">
      <c r="A1451" s="1975" t="s">
        <v>1999</v>
      </c>
      <c r="B1451" s="478" t="s">
        <v>4123</v>
      </c>
      <c r="D1451" s="1834"/>
      <c r="E1451" s="1834"/>
      <c r="F1451" s="1834"/>
      <c r="G1451" s="1834"/>
      <c r="H1451" s="1977" t="s">
        <v>1999</v>
      </c>
      <c r="I1451" s="1933" t="str">
        <f>'Part VIII-Threshold Criteria'!I357</f>
        <v>In-Fill Housing II, Inc.</v>
      </c>
      <c r="J1451" s="1933">
        <f>'Part VIII-Threshold Criteria'!J357</f>
        <v>0</v>
      </c>
      <c r="K1451" s="1933">
        <f>'Part VIII-Threshold Criteria'!K357</f>
        <v>0</v>
      </c>
      <c r="L1451" s="1933">
        <f>'Part VIII-Threshold Criteria'!L357</f>
        <v>0</v>
      </c>
      <c r="M1451" s="1933">
        <f>'Part VIII-Threshold Criteria'!M357</f>
        <v>0</v>
      </c>
      <c r="N1451" s="1933">
        <f>'Part VIII-Threshold Criteria'!N357</f>
        <v>0</v>
      </c>
      <c r="O1451" s="1933">
        <f>'Part VIII-Threshold Criteria'!O357</f>
        <v>0</v>
      </c>
      <c r="P1451" s="1933">
        <f>'Part VIII-Threshold Criteria'!P357</f>
        <v>0</v>
      </c>
      <c r="Q1451" s="1942">
        <f>'Part VIII-Threshold Criteria'!Q357</f>
        <v>0</v>
      </c>
    </row>
    <row r="1452" spans="1:17">
      <c r="A1452" s="1973" t="s">
        <v>2001</v>
      </c>
      <c r="B1452" s="478" t="s">
        <v>4124</v>
      </c>
      <c r="D1452" s="1834"/>
      <c r="E1452" s="1834"/>
      <c r="F1452" s="1834"/>
      <c r="G1452" s="1834"/>
      <c r="H1452" s="1987" t="s">
        <v>2001</v>
      </c>
      <c r="I1452" s="1933" t="str">
        <f>'Part VIII-Threshold Criteria'!I358</f>
        <v>http://www.infillhousing.net</v>
      </c>
      <c r="J1452" s="1933">
        <f>'Part VIII-Threshold Criteria'!J358</f>
        <v>0</v>
      </c>
      <c r="K1452" s="1933">
        <f>'Part VIII-Threshold Criteria'!K358</f>
        <v>0</v>
      </c>
      <c r="L1452" s="1933">
        <f>'Part VIII-Threshold Criteria'!L358</f>
        <v>0</v>
      </c>
      <c r="M1452" s="1933">
        <f>'Part VIII-Threshold Criteria'!M358</f>
        <v>0</v>
      </c>
      <c r="N1452" s="1933">
        <f>'Part VIII-Threshold Criteria'!N358</f>
        <v>0</v>
      </c>
      <c r="O1452" s="1933">
        <f>'Part VIII-Threshold Criteria'!O358</f>
        <v>0</v>
      </c>
      <c r="P1452" s="1933">
        <f>'Part VIII-Threshold Criteria'!P358</f>
        <v>0</v>
      </c>
      <c r="Q1452" s="1942">
        <f>'Part VIII-Threshold Criteria'!Q358</f>
        <v>0</v>
      </c>
    </row>
    <row r="1453" spans="1:17" ht="12.75" customHeight="1">
      <c r="A1453" s="1973" t="s">
        <v>757</v>
      </c>
      <c r="B1453" s="1901" t="s">
        <v>4114</v>
      </c>
      <c r="C1453" s="1901"/>
      <c r="D1453" s="1901"/>
      <c r="E1453" s="1901"/>
      <c r="F1453" s="1901"/>
      <c r="G1453" s="1901"/>
      <c r="H1453" s="1901"/>
      <c r="I1453" s="1901"/>
      <c r="J1453" s="1901"/>
      <c r="K1453" s="1901"/>
      <c r="L1453" s="1901"/>
      <c r="M1453" s="1901"/>
      <c r="N1453" s="1901"/>
      <c r="O1453" s="1987" t="s">
        <v>757</v>
      </c>
      <c r="P1453" s="1988" t="str">
        <f>'Part VIII-Threshold Criteria'!P359</f>
        <v>Yes</v>
      </c>
      <c r="Q1453" s="1988">
        <f>'Part VIII-Threshold Criteria'!Q359</f>
        <v>0</v>
      </c>
    </row>
    <row r="1454" spans="1:17" ht="12.75" customHeight="1">
      <c r="A1454" s="1973" t="s">
        <v>2131</v>
      </c>
      <c r="B1454" s="1936" t="s">
        <v>4115</v>
      </c>
      <c r="C1454" s="1936"/>
      <c r="D1454" s="1936"/>
      <c r="E1454" s="1936"/>
      <c r="F1454" s="1936"/>
      <c r="G1454" s="1936"/>
      <c r="H1454" s="1936"/>
      <c r="I1454" s="1936"/>
      <c r="J1454" s="1936"/>
      <c r="K1454" s="1936"/>
      <c r="L1454" s="1936"/>
      <c r="M1454" s="1936"/>
      <c r="N1454" s="1936"/>
      <c r="O1454" s="1977" t="s">
        <v>2131</v>
      </c>
      <c r="P1454" s="1988" t="str">
        <f>'Part VIII-Threshold Criteria'!P360</f>
        <v>Yes</v>
      </c>
      <c r="Q1454" s="1988">
        <f>'Part VIII-Threshold Criteria'!Q360</f>
        <v>0</v>
      </c>
    </row>
    <row r="1455" spans="1:17">
      <c r="A1455" s="1973" t="s">
        <v>1748</v>
      </c>
      <c r="B1455" s="478" t="s">
        <v>4116</v>
      </c>
      <c r="D1455" s="478"/>
      <c r="E1455" s="478"/>
      <c r="F1455" s="478"/>
      <c r="G1455" s="478"/>
      <c r="H1455" s="478"/>
      <c r="I1455" s="478"/>
      <c r="J1455" s="478"/>
      <c r="K1455" s="478"/>
      <c r="L1455" s="478"/>
      <c r="M1455" s="478"/>
      <c r="O1455" s="1987" t="s">
        <v>1748</v>
      </c>
      <c r="P1455" s="1942" t="str">
        <f>'Part VIII-Threshold Criteria'!P361</f>
        <v>Yes</v>
      </c>
      <c r="Q1455" s="1942">
        <f>'Part VIII-Threshold Criteria'!Q361</f>
        <v>0</v>
      </c>
    </row>
    <row r="1456" spans="1:17" ht="12.75" customHeight="1">
      <c r="A1456" s="1973" t="s">
        <v>1749</v>
      </c>
      <c r="B1456" s="1936" t="s">
        <v>4117</v>
      </c>
      <c r="C1456" s="1936"/>
      <c r="D1456" s="1936"/>
      <c r="E1456" s="1936"/>
      <c r="F1456" s="1936"/>
      <c r="G1456" s="1936"/>
      <c r="H1456" s="1936"/>
      <c r="I1456" s="1936"/>
      <c r="J1456" s="1936"/>
      <c r="K1456" s="1936"/>
      <c r="L1456" s="1936"/>
      <c r="M1456" s="1936"/>
      <c r="N1456" s="1936"/>
      <c r="O1456" s="1987" t="s">
        <v>1749</v>
      </c>
      <c r="P1456" s="1988" t="str">
        <f>'Part VIII-Threshold Criteria'!P362</f>
        <v>Yes</v>
      </c>
      <c r="Q1456" s="1988">
        <f>'Part VIII-Threshold Criteria'!Q362</f>
        <v>0</v>
      </c>
    </row>
    <row r="1457" spans="1:17">
      <c r="A1457" s="1973" t="s">
        <v>1962</v>
      </c>
      <c r="B1457" s="1961" t="s">
        <v>4118</v>
      </c>
      <c r="C1457" s="1953"/>
      <c r="D1457" s="1936"/>
      <c r="E1457" s="1936"/>
      <c r="F1457" s="1936"/>
      <c r="G1457" s="1936"/>
      <c r="H1457" s="1936"/>
      <c r="I1457" s="1936"/>
      <c r="J1457" s="1936"/>
      <c r="K1457" s="1936"/>
      <c r="L1457" s="1936"/>
      <c r="M1457" s="1936"/>
      <c r="N1457" s="1936"/>
      <c r="O1457" s="1987" t="s">
        <v>1962</v>
      </c>
      <c r="P1457" s="1988" t="str">
        <f>'Part VIII-Threshold Criteria'!P363</f>
        <v>Yes</v>
      </c>
      <c r="Q1457" s="1988">
        <f>'Part VIII-Threshold Criteria'!Q363</f>
        <v>0</v>
      </c>
    </row>
    <row r="1458" spans="1:17">
      <c r="A1458" s="1953"/>
      <c r="B1458" s="1953"/>
      <c r="C1458" s="1996" t="s">
        <v>4801</v>
      </c>
      <c r="D1458" s="1953"/>
      <c r="E1458" s="1939"/>
      <c r="F1458" s="1939"/>
      <c r="G1458" s="1939"/>
      <c r="H1458" s="1939"/>
      <c r="I1458" s="1939"/>
      <c r="J1458" s="1939"/>
      <c r="K1458" s="1939"/>
      <c r="L1458" s="1939"/>
      <c r="M1458" s="1939"/>
      <c r="N1458" s="1939"/>
      <c r="O1458" s="1953"/>
      <c r="P1458" s="1988">
        <f>'Part VIII-Threshold Criteria'!P364</f>
        <v>0</v>
      </c>
      <c r="Q1458" s="1988">
        <f>'Part VIII-Threshold Criteria'!Q364</f>
        <v>0</v>
      </c>
    </row>
    <row r="1459" spans="1:17" ht="12.75" customHeight="1">
      <c r="A1459" s="1973" t="s">
        <v>3391</v>
      </c>
      <c r="B1459" s="1936" t="s">
        <v>4119</v>
      </c>
      <c r="C1459" s="1936"/>
      <c r="D1459" s="1936"/>
      <c r="E1459" s="1936"/>
      <c r="F1459" s="1936"/>
      <c r="G1459" s="1936"/>
      <c r="H1459" s="1936"/>
      <c r="I1459" s="1936"/>
      <c r="J1459" s="1936"/>
      <c r="K1459" s="1936"/>
      <c r="L1459" s="1936"/>
      <c r="M1459" s="1936"/>
      <c r="N1459" s="1936"/>
      <c r="O1459" s="1987" t="s">
        <v>3391</v>
      </c>
      <c r="P1459" s="1988" t="str">
        <f>'Part VIII-Threshold Criteria'!P365</f>
        <v>No</v>
      </c>
      <c r="Q1459" s="1988">
        <f>'Part VIII-Threshold Criteria'!Q365</f>
        <v>0</v>
      </c>
    </row>
    <row r="1460" spans="1:17" ht="12.75" customHeight="1">
      <c r="A1460" s="1973" t="s">
        <v>622</v>
      </c>
      <c r="B1460" s="1936" t="s">
        <v>4120</v>
      </c>
      <c r="C1460" s="1936"/>
      <c r="D1460" s="1936"/>
      <c r="E1460" s="1936"/>
      <c r="F1460" s="1936"/>
      <c r="G1460" s="1936"/>
      <c r="H1460" s="1936"/>
      <c r="I1460" s="1936"/>
      <c r="J1460" s="1936"/>
      <c r="K1460" s="1936"/>
      <c r="L1460" s="1936"/>
      <c r="M1460" s="1936"/>
      <c r="N1460" s="1936"/>
      <c r="O1460" s="1987" t="s">
        <v>622</v>
      </c>
      <c r="P1460" s="1988" t="str">
        <f>'Part VIII-Threshold Criteria'!P366</f>
        <v>Yes</v>
      </c>
      <c r="Q1460" s="1988">
        <f>'Part VIII-Threshold Criteria'!Q366</f>
        <v>0</v>
      </c>
    </row>
    <row r="1461" spans="1:17">
      <c r="B1461" s="1873" t="s">
        <v>3779</v>
      </c>
      <c r="D1461" s="1873"/>
      <c r="E1461" s="1873"/>
      <c r="F1461" s="1873"/>
      <c r="G1461" s="1873"/>
      <c r="H1461" s="1872"/>
      <c r="I1461" s="1934"/>
      <c r="J1461" s="1934"/>
      <c r="K1461" s="1934"/>
      <c r="L1461" s="1836"/>
      <c r="M1461" s="1836"/>
      <c r="N1461" s="1836"/>
      <c r="O1461" s="1836"/>
      <c r="P1461" s="1836"/>
      <c r="Q1461" s="1836"/>
    </row>
    <row r="1462" spans="1:17" ht="247.5">
      <c r="A1462" s="1936" t="str">
        <f>'Part VIII-Threshold Criteria'!A368</f>
        <v>Tindall Fields III meets Threshold approval under the Non-Profit Set-Aside based upon the opinion of Scott Spivey, our attorney who specializes in tax law.  Please see Tabs 21-01 and 24-03 for this documentation.</v>
      </c>
      <c r="B1462" s="1936">
        <f>'Part VIII-Threshold Criteria'!B368</f>
        <v>0</v>
      </c>
      <c r="C1462" s="1936">
        <f>'Part VIII-Threshold Criteria'!C368</f>
        <v>0</v>
      </c>
      <c r="D1462" s="1936">
        <f>'Part VIII-Threshold Criteria'!D368</f>
        <v>0</v>
      </c>
      <c r="E1462" s="1936">
        <f>'Part VIII-Threshold Criteria'!E368</f>
        <v>0</v>
      </c>
      <c r="F1462" s="1936">
        <f>'Part VIII-Threshold Criteria'!F368</f>
        <v>0</v>
      </c>
      <c r="G1462" s="1936">
        <f>'Part VIII-Threshold Criteria'!G368</f>
        <v>0</v>
      </c>
      <c r="H1462" s="1936">
        <f>'Part VIII-Threshold Criteria'!H368</f>
        <v>0</v>
      </c>
      <c r="I1462" s="1936">
        <f>'Part VIII-Threshold Criteria'!I368</f>
        <v>0</v>
      </c>
      <c r="J1462" s="1936">
        <f>'Part VIII-Threshold Criteria'!J368</f>
        <v>0</v>
      </c>
      <c r="K1462" s="1936">
        <f>'Part VIII-Threshold Criteria'!K368</f>
        <v>0</v>
      </c>
      <c r="L1462" s="1936">
        <f>'Part VIII-Threshold Criteria'!L368</f>
        <v>0</v>
      </c>
      <c r="M1462" s="1936">
        <f>'Part VIII-Threshold Criteria'!M368</f>
        <v>0</v>
      </c>
      <c r="N1462" s="1936">
        <f>'Part VIII-Threshold Criteria'!N368</f>
        <v>0</v>
      </c>
      <c r="O1462" s="1936">
        <f>'Part VIII-Threshold Criteria'!O368</f>
        <v>0</v>
      </c>
      <c r="P1462" s="1936">
        <f>'Part VIII-Threshold Criteria'!P368</f>
        <v>0</v>
      </c>
      <c r="Q1462" s="1936">
        <f>'Part VIII-Threshold Criteria'!Q368</f>
        <v>0</v>
      </c>
    </row>
    <row r="1463" spans="1:17">
      <c r="B1463" s="1937" t="s">
        <v>1880</v>
      </c>
      <c r="C1463" s="1938"/>
      <c r="D1463" s="1939"/>
      <c r="E1463" s="1939"/>
      <c r="F1463" s="1939"/>
      <c r="G1463" s="1939"/>
      <c r="H1463" s="1939"/>
      <c r="I1463" s="1939"/>
      <c r="J1463" s="1939"/>
      <c r="K1463" s="1939"/>
      <c r="L1463" s="1939"/>
      <c r="M1463" s="1939"/>
      <c r="N1463" s="1939"/>
      <c r="O1463" s="1939"/>
      <c r="P1463" s="1939"/>
      <c r="Q1463" s="1939"/>
    </row>
    <row r="1464" spans="1:17">
      <c r="A1464" s="1936">
        <f>'Part VIII-Threshold Criteria'!A370</f>
        <v>0</v>
      </c>
      <c r="B1464" s="1936">
        <f>'Part VIII-Threshold Criteria'!B370</f>
        <v>0</v>
      </c>
      <c r="C1464" s="1936">
        <f>'Part VIII-Threshold Criteria'!C370</f>
        <v>0</v>
      </c>
      <c r="D1464" s="1936">
        <f>'Part VIII-Threshold Criteria'!D370</f>
        <v>0</v>
      </c>
      <c r="E1464" s="1936">
        <f>'Part VIII-Threshold Criteria'!E370</f>
        <v>0</v>
      </c>
      <c r="F1464" s="1936">
        <f>'Part VIII-Threshold Criteria'!F370</f>
        <v>0</v>
      </c>
      <c r="G1464" s="1936">
        <f>'Part VIII-Threshold Criteria'!G370</f>
        <v>0</v>
      </c>
      <c r="H1464" s="1936">
        <f>'Part VIII-Threshold Criteria'!H370</f>
        <v>0</v>
      </c>
      <c r="I1464" s="1936">
        <f>'Part VIII-Threshold Criteria'!I370</f>
        <v>0</v>
      </c>
      <c r="J1464" s="1936">
        <f>'Part VIII-Threshold Criteria'!J370</f>
        <v>0</v>
      </c>
      <c r="K1464" s="1936">
        <f>'Part VIII-Threshold Criteria'!K370</f>
        <v>0</v>
      </c>
      <c r="L1464" s="1936">
        <f>'Part VIII-Threshold Criteria'!L370</f>
        <v>0</v>
      </c>
      <c r="M1464" s="1936">
        <f>'Part VIII-Threshold Criteria'!M370</f>
        <v>0</v>
      </c>
      <c r="N1464" s="1936">
        <f>'Part VIII-Threshold Criteria'!N370</f>
        <v>0</v>
      </c>
      <c r="O1464" s="1936">
        <f>'Part VIII-Threshold Criteria'!O370</f>
        <v>0</v>
      </c>
      <c r="P1464" s="1936">
        <f>'Part VIII-Threshold Criteria'!P370</f>
        <v>0</v>
      </c>
      <c r="Q1464" s="1936">
        <f>'Part VIII-Threshold Criteria'!Q370</f>
        <v>0</v>
      </c>
    </row>
    <row r="1465" spans="1:17">
      <c r="A1465" s="1836"/>
      <c r="B1465" s="1934"/>
      <c r="C1465" s="1939"/>
      <c r="D1465" s="1939"/>
      <c r="E1465" s="1939"/>
      <c r="F1465" s="1939"/>
      <c r="G1465" s="1939"/>
      <c r="H1465" s="1939"/>
      <c r="I1465" s="1939"/>
      <c r="J1465" s="1939"/>
      <c r="K1465" s="1939"/>
      <c r="L1465" s="1939"/>
      <c r="M1465" s="1939"/>
      <c r="Q1465" s="1836"/>
    </row>
    <row r="1466" spans="1:17">
      <c r="A1466" s="1819" t="s">
        <v>4156</v>
      </c>
      <c r="B1466" s="1818" t="s">
        <v>3947</v>
      </c>
      <c r="C1466" s="1818"/>
      <c r="D1466" s="1818"/>
      <c r="E1466" s="1818"/>
      <c r="F1466" s="1818"/>
      <c r="G1466" s="1818"/>
      <c r="H1466" s="1939"/>
      <c r="I1466" s="1939"/>
      <c r="J1466" s="1939"/>
      <c r="O1466" s="1935" t="s">
        <v>1881</v>
      </c>
      <c r="P1466" s="1844">
        <f>'Part VIII-Threshold Criteria'!P372</f>
        <v>0</v>
      </c>
      <c r="Q1466" s="1844">
        <f>'Part VIII-Threshold Criteria'!Q372</f>
        <v>0</v>
      </c>
    </row>
    <row r="1467" spans="1:17">
      <c r="A1467" s="1975" t="s">
        <v>1999</v>
      </c>
      <c r="B1467" s="1933" t="s">
        <v>3949</v>
      </c>
      <c r="C1467" s="1629"/>
      <c r="D1467" s="478"/>
      <c r="E1467" s="478"/>
      <c r="F1467" s="478"/>
      <c r="G1467" s="478"/>
      <c r="H1467" s="478"/>
      <c r="I1467" s="478"/>
      <c r="J1467" s="478"/>
      <c r="K1467" s="478"/>
      <c r="L1467" s="478"/>
      <c r="M1467" s="478"/>
      <c r="N1467" s="478"/>
      <c r="O1467" s="478"/>
      <c r="P1467" s="478"/>
      <c r="Q1467" s="478"/>
    </row>
    <row r="1468" spans="1:17">
      <c r="A1468" s="1975"/>
      <c r="B1468" s="478" t="s">
        <v>1750</v>
      </c>
      <c r="C1468" s="478" t="s">
        <v>4173</v>
      </c>
      <c r="D1468" s="478"/>
      <c r="E1468" s="478"/>
      <c r="F1468" s="478"/>
      <c r="G1468" s="1933">
        <f>'Part VIII-Threshold Criteria'!G374</f>
        <v>0</v>
      </c>
      <c r="H1468" s="1933">
        <f>'Part VIII-Threshold Criteria'!H374</f>
        <v>0</v>
      </c>
      <c r="I1468" s="1933">
        <f>'Part VIII-Threshold Criteria'!I374</f>
        <v>0</v>
      </c>
      <c r="J1468" s="1934" t="s">
        <v>3956</v>
      </c>
      <c r="K1468" s="1933">
        <f>'Part VIII-Threshold Criteria'!K374</f>
        <v>0</v>
      </c>
      <c r="L1468" s="1933">
        <f>'Part VIII-Threshold Criteria'!L374</f>
        <v>0</v>
      </c>
      <c r="M1468" s="1933">
        <f>'Part VIII-Threshold Criteria'!M374</f>
        <v>0</v>
      </c>
      <c r="N1468" s="478" t="s">
        <v>3948</v>
      </c>
      <c r="O1468" s="478"/>
      <c r="P1468" s="1933">
        <f>'Part VIII-Threshold Criteria'!P374</f>
        <v>0</v>
      </c>
      <c r="Q1468" s="1933">
        <f>'Part VIII-Threshold Criteria'!Q374</f>
        <v>0</v>
      </c>
    </row>
    <row r="1469" spans="1:17">
      <c r="A1469" s="1629"/>
      <c r="B1469" s="478" t="s">
        <v>1751</v>
      </c>
      <c r="C1469" s="478" t="s">
        <v>3950</v>
      </c>
      <c r="D1469" s="1629"/>
      <c r="E1469" s="1629"/>
      <c r="F1469" s="1629"/>
      <c r="G1469" s="1629"/>
      <c r="H1469" s="1629"/>
      <c r="I1469" s="1977" t="s">
        <v>1751</v>
      </c>
      <c r="J1469" s="2012">
        <f>'Part VIII-Threshold Criteria'!J375</f>
        <v>0</v>
      </c>
      <c r="K1469" s="2012">
        <f>'Part VIII-Threshold Criteria'!K375</f>
        <v>0</v>
      </c>
      <c r="L1469" s="1629"/>
      <c r="M1469" s="1629"/>
      <c r="N1469" s="1629"/>
      <c r="O1469" s="1629"/>
      <c r="P1469" s="1629"/>
      <c r="Q1469" s="1629"/>
    </row>
    <row r="1470" spans="1:17">
      <c r="A1470" s="1975"/>
      <c r="B1470" s="478" t="s">
        <v>1752</v>
      </c>
      <c r="C1470" s="478" t="s">
        <v>3951</v>
      </c>
      <c r="D1470" s="1828"/>
      <c r="E1470" s="1901"/>
      <c r="F1470" s="1978" t="str">
        <f>'Part VIII-Threshold Criteria'!F376</f>
        <v>Urban</v>
      </c>
      <c r="G1470" s="1978">
        <f>'Part VIII-Threshold Criteria'!G376</f>
        <v>0</v>
      </c>
      <c r="H1470" s="1866" t="s">
        <v>3952</v>
      </c>
      <c r="I1470" s="1901"/>
      <c r="J1470" s="1901"/>
      <c r="K1470" s="1901"/>
      <c r="L1470" s="1901"/>
      <c r="M1470" s="1901"/>
      <c r="N1470" s="1901"/>
      <c r="O1470" s="1977" t="s">
        <v>1752</v>
      </c>
      <c r="P1470" s="1942">
        <f>'Part VIII-Threshold Criteria'!P376</f>
        <v>0</v>
      </c>
      <c r="Q1470" s="1942">
        <f>'Part VIII-Threshold Criteria'!Q376</f>
        <v>0</v>
      </c>
    </row>
    <row r="1471" spans="1:17">
      <c r="A1471" s="1975"/>
      <c r="B1471" s="478" t="s">
        <v>2381</v>
      </c>
      <c r="C1471" s="478" t="s">
        <v>3953</v>
      </c>
      <c r="D1471" s="1629"/>
      <c r="E1471" s="1901"/>
      <c r="F1471" s="1901"/>
      <c r="G1471" s="1901"/>
      <c r="H1471" s="1901"/>
      <c r="I1471" s="1901"/>
      <c r="J1471" s="2013">
        <f>'Part VIII-Threshold Criteria'!J377</f>
        <v>0</v>
      </c>
      <c r="K1471" s="2013">
        <f>'Part VIII-Threshold Criteria'!K377</f>
        <v>0</v>
      </c>
      <c r="L1471" s="2013">
        <f>'Part VIII-Threshold Criteria'!L377</f>
        <v>0</v>
      </c>
      <c r="M1471" s="2013">
        <f>'Part VIII-Threshold Criteria'!M377</f>
        <v>0</v>
      </c>
      <c r="N1471" s="478" t="s">
        <v>3963</v>
      </c>
      <c r="O1471" s="1977"/>
      <c r="P1471" s="1942">
        <f>'Part VIII-Threshold Criteria'!P377</f>
        <v>0</v>
      </c>
      <c r="Q1471" s="1942">
        <f>'Part VIII-Threshold Criteria'!Q377</f>
        <v>0</v>
      </c>
    </row>
    <row r="1472" spans="1:17">
      <c r="A1472" s="1975"/>
      <c r="B1472" s="478" t="s">
        <v>1561</v>
      </c>
      <c r="C1472" s="478" t="s">
        <v>3954</v>
      </c>
      <c r="D1472" s="1629"/>
      <c r="E1472" s="478"/>
      <c r="F1472" s="2013">
        <f>'Part VIII-Threshold Criteria'!F378</f>
        <v>874237</v>
      </c>
      <c r="G1472" s="2013">
        <f>'Part VIII-Threshold Criteria'!G378</f>
        <v>0</v>
      </c>
      <c r="H1472" s="478" t="s">
        <v>3955</v>
      </c>
      <c r="I1472" s="478"/>
      <c r="J1472" s="1933" t="str">
        <f>IF(F1472&gt;'DCA Underwriting Assumptions'!$Q$129, "Request exceeds DCA per project maximum for set aside!!!","")</f>
        <v>Request exceeds DCA per project maximum for set aside!!!</v>
      </c>
      <c r="K1472" s="478"/>
      <c r="L1472" s="478"/>
      <c r="M1472" s="1629"/>
      <c r="N1472" s="1629"/>
      <c r="O1472" s="1977" t="s">
        <v>1561</v>
      </c>
      <c r="P1472" s="1942">
        <f>'Part VIII-Threshold Criteria'!P378</f>
        <v>0</v>
      </c>
      <c r="Q1472" s="1942">
        <f>'Part VIII-Threshold Criteria'!Q378</f>
        <v>0</v>
      </c>
    </row>
    <row r="1473" spans="1:17">
      <c r="A1473" s="1975"/>
      <c r="B1473" s="478" t="s">
        <v>1562</v>
      </c>
      <c r="C1473" s="478" t="s">
        <v>3957</v>
      </c>
      <c r="D1473" s="1629"/>
      <c r="E1473" s="478"/>
      <c r="F1473" s="478"/>
      <c r="G1473" s="478"/>
      <c r="H1473" s="478" t="s">
        <v>3617</v>
      </c>
      <c r="I1473" s="478"/>
      <c r="J1473" s="2013">
        <f>'Part VIII-Threshold Criteria'!J379</f>
        <v>0</v>
      </c>
      <c r="K1473" s="2013">
        <f>'Part VIII-Threshold Criteria'!K379</f>
        <v>0</v>
      </c>
      <c r="L1473" s="478" t="s">
        <v>3958</v>
      </c>
      <c r="M1473" s="2013">
        <f>'Part VIII-Threshold Criteria'!M379</f>
        <v>0</v>
      </c>
      <c r="N1473" s="2013">
        <f>'Part VIII-Threshold Criteria'!N379</f>
        <v>0</v>
      </c>
      <c r="O1473" s="1629"/>
      <c r="P1473" s="1629"/>
      <c r="Q1473" s="1629"/>
    </row>
    <row r="1474" spans="1:17">
      <c r="A1474" s="1629"/>
      <c r="B1474" s="478" t="s">
        <v>99</v>
      </c>
      <c r="C1474" s="478" t="s">
        <v>3959</v>
      </c>
      <c r="D1474" s="1629"/>
      <c r="E1474" s="1901"/>
      <c r="F1474" s="1901"/>
      <c r="G1474" s="1901"/>
      <c r="H1474" s="1901"/>
      <c r="I1474" s="1901"/>
      <c r="J1474" s="1901"/>
      <c r="K1474" s="1901"/>
      <c r="L1474" s="1901"/>
      <c r="M1474" s="1901"/>
      <c r="N1474" s="1901"/>
      <c r="O1474" s="1977" t="s">
        <v>99</v>
      </c>
      <c r="P1474" s="1942">
        <f>'Part VIII-Threshold Criteria'!P380</f>
        <v>0</v>
      </c>
      <c r="Q1474" s="1942">
        <f>'Part VIII-Threshold Criteria'!Q380</f>
        <v>0</v>
      </c>
    </row>
    <row r="1475" spans="1:17">
      <c r="A1475" s="1629"/>
      <c r="B1475" s="1901"/>
      <c r="C1475" s="1629"/>
      <c r="D1475" s="1901"/>
      <c r="E1475" s="1901"/>
      <c r="F1475" s="1901"/>
      <c r="G1475" s="1901"/>
      <c r="H1475" s="1901"/>
      <c r="I1475" s="1901"/>
      <c r="J1475" s="1901"/>
      <c r="K1475" s="1901"/>
      <c r="L1475" s="1901"/>
      <c r="M1475" s="1901"/>
      <c r="N1475" s="1901"/>
      <c r="O1475" s="1901"/>
      <c r="P1475" s="1901"/>
      <c r="Q1475" s="1901"/>
    </row>
    <row r="1476" spans="1:17" ht="12.75" customHeight="1">
      <c r="A1476" s="1975" t="s">
        <v>2001</v>
      </c>
      <c r="B1476" s="1933" t="s">
        <v>3960</v>
      </c>
      <c r="C1476" s="1629"/>
      <c r="D1476" s="1901"/>
      <c r="E1476" s="1901"/>
      <c r="F1476" s="1901"/>
      <c r="G1476" s="1901"/>
      <c r="H1476" s="1901"/>
      <c r="I1476" s="1629"/>
      <c r="J1476" s="478" t="s">
        <v>3965</v>
      </c>
      <c r="K1476" s="478"/>
      <c r="L1476" s="478"/>
      <c r="M1476" s="478"/>
      <c r="N1476" s="1901" t="s">
        <v>3962</v>
      </c>
      <c r="O1476" s="1901"/>
      <c r="P1476" s="1901"/>
      <c r="Q1476" s="1901"/>
    </row>
    <row r="1477" spans="1:17">
      <c r="A1477" s="1629"/>
      <c r="B1477" s="478" t="s">
        <v>1750</v>
      </c>
      <c r="C1477" s="1872" t="s">
        <v>3961</v>
      </c>
      <c r="D1477" s="1629"/>
      <c r="E1477" s="1866"/>
      <c r="F1477" s="1866"/>
      <c r="G1477" s="1866"/>
      <c r="H1477" s="1866"/>
      <c r="I1477" s="1629"/>
      <c r="J1477" s="2013">
        <f>'Part VIII-Threshold Criteria'!J383</f>
        <v>0</v>
      </c>
      <c r="K1477" s="2013">
        <f>'Part VIII-Threshold Criteria'!K383</f>
        <v>0</v>
      </c>
      <c r="L1477" s="2013">
        <f>'Part VIII-Threshold Criteria'!L383</f>
        <v>0</v>
      </c>
      <c r="M1477" s="2013">
        <f>'Part VIII-Threshold Criteria'!M383</f>
        <v>0</v>
      </c>
      <c r="N1477" s="2014" t="e">
        <f>IF(J1477="","",J1471/J1477)</f>
        <v>#DIV/0!</v>
      </c>
      <c r="O1477" s="2014" t="e">
        <f>IF(L1477="","",L1471/L1477)</f>
        <v>#DIV/0!</v>
      </c>
      <c r="P1477" s="1942">
        <f>'Part VIII-Threshold Criteria'!P383</f>
        <v>0</v>
      </c>
      <c r="Q1477" s="1942">
        <f>'Part VIII-Threshold Criteria'!Q383</f>
        <v>0</v>
      </c>
    </row>
    <row r="1478" spans="1:17">
      <c r="A1478" s="1629"/>
      <c r="B1478" s="478" t="s">
        <v>1751</v>
      </c>
      <c r="C1478" s="478" t="s">
        <v>3964</v>
      </c>
      <c r="D1478" s="1629"/>
      <c r="E1478" s="1901"/>
      <c r="F1478" s="1901"/>
      <c r="G1478" s="1901"/>
      <c r="H1478" s="1901"/>
      <c r="I1478" s="1629"/>
      <c r="J1478" s="1629"/>
      <c r="K1478" s="1629"/>
      <c r="L1478" s="1629"/>
      <c r="M1478" s="1629"/>
      <c r="N1478" s="1901"/>
      <c r="O1478" s="1977" t="s">
        <v>1751</v>
      </c>
      <c r="P1478" s="2015">
        <f>'Part VIII-Threshold Criteria'!P384</f>
        <v>0</v>
      </c>
      <c r="Q1478" s="2015">
        <f>'Part VIII-Threshold Criteria'!Q384</f>
        <v>0</v>
      </c>
    </row>
    <row r="1479" spans="1:17">
      <c r="A1479" s="1629"/>
      <c r="B1479" s="478" t="s">
        <v>1752</v>
      </c>
      <c r="C1479" s="478" t="s">
        <v>3966</v>
      </c>
      <c r="D1479" s="1629"/>
      <c r="E1479" s="1901"/>
      <c r="F1479" s="1901"/>
      <c r="G1479" s="1901"/>
      <c r="H1479" s="1901"/>
      <c r="I1479" s="1629"/>
      <c r="J1479" s="1629"/>
      <c r="K1479" s="1629"/>
      <c r="L1479" s="1629"/>
      <c r="M1479" s="1901"/>
      <c r="N1479" s="1901"/>
      <c r="O1479" s="1977" t="s">
        <v>1752</v>
      </c>
      <c r="P1479" s="1942">
        <f>'Part VIII-Threshold Criteria'!P385</f>
        <v>0</v>
      </c>
      <c r="Q1479" s="1942">
        <f>'Part VIII-Threshold Criteria'!Q385</f>
        <v>0</v>
      </c>
    </row>
    <row r="1480" spans="1:17">
      <c r="B1480" s="1873" t="s">
        <v>3779</v>
      </c>
      <c r="D1480" s="1873"/>
      <c r="E1480" s="1873"/>
      <c r="F1480" s="1873"/>
      <c r="G1480" s="1873"/>
      <c r="H1480" s="1872"/>
      <c r="I1480" s="1934"/>
      <c r="J1480" s="1934"/>
      <c r="K1480" s="1934"/>
      <c r="L1480" s="1836"/>
      <c r="M1480" s="1836"/>
      <c r="N1480" s="1836"/>
      <c r="O1480" s="1836"/>
      <c r="P1480" s="1836"/>
      <c r="Q1480" s="1836"/>
    </row>
    <row r="1481" spans="1:17" ht="22.5">
      <c r="A1481" s="1936" t="str">
        <f>'Part VIII-Threshold Criteria'!A387</f>
        <v>This tab is N/A</v>
      </c>
      <c r="B1481" s="1936">
        <f>'Part VIII-Threshold Criteria'!B387</f>
        <v>0</v>
      </c>
      <c r="C1481" s="1936">
        <f>'Part VIII-Threshold Criteria'!C387</f>
        <v>0</v>
      </c>
      <c r="D1481" s="1936">
        <f>'Part VIII-Threshold Criteria'!D387</f>
        <v>0</v>
      </c>
      <c r="E1481" s="1936">
        <f>'Part VIII-Threshold Criteria'!E387</f>
        <v>0</v>
      </c>
      <c r="F1481" s="1936">
        <f>'Part VIII-Threshold Criteria'!F387</f>
        <v>0</v>
      </c>
      <c r="G1481" s="1936">
        <f>'Part VIII-Threshold Criteria'!G387</f>
        <v>0</v>
      </c>
      <c r="H1481" s="1936">
        <f>'Part VIII-Threshold Criteria'!H387</f>
        <v>0</v>
      </c>
      <c r="I1481" s="1936">
        <f>'Part VIII-Threshold Criteria'!I387</f>
        <v>0</v>
      </c>
      <c r="J1481" s="1936">
        <f>'Part VIII-Threshold Criteria'!J387</f>
        <v>0</v>
      </c>
      <c r="K1481" s="1936">
        <f>'Part VIII-Threshold Criteria'!K387</f>
        <v>0</v>
      </c>
      <c r="L1481" s="1936">
        <f>'Part VIII-Threshold Criteria'!L387</f>
        <v>0</v>
      </c>
      <c r="M1481" s="1936">
        <f>'Part VIII-Threshold Criteria'!M387</f>
        <v>0</v>
      </c>
      <c r="N1481" s="1936">
        <f>'Part VIII-Threshold Criteria'!N387</f>
        <v>0</v>
      </c>
      <c r="O1481" s="1936">
        <f>'Part VIII-Threshold Criteria'!O387</f>
        <v>0</v>
      </c>
      <c r="P1481" s="1936">
        <f>'Part VIII-Threshold Criteria'!P387</f>
        <v>0</v>
      </c>
      <c r="Q1481" s="1936">
        <f>'Part VIII-Threshold Criteria'!Q387</f>
        <v>0</v>
      </c>
    </row>
    <row r="1482" spans="1:17">
      <c r="B1482" s="1937" t="s">
        <v>1880</v>
      </c>
      <c r="C1482" s="1938"/>
      <c r="D1482" s="1939"/>
      <c r="E1482" s="1939"/>
      <c r="F1482" s="1939"/>
      <c r="G1482" s="1939"/>
      <c r="H1482" s="1939"/>
      <c r="I1482" s="1939"/>
      <c r="J1482" s="1939"/>
      <c r="K1482" s="1939"/>
      <c r="L1482" s="1939"/>
      <c r="M1482" s="1939"/>
      <c r="N1482" s="1939"/>
      <c r="O1482" s="1939"/>
      <c r="P1482" s="1939"/>
      <c r="Q1482" s="1939"/>
    </row>
    <row r="1483" spans="1:17">
      <c r="A1483" s="1936">
        <f>'Part VIII-Threshold Criteria'!A389</f>
        <v>0</v>
      </c>
      <c r="B1483" s="1936">
        <f>'Part VIII-Threshold Criteria'!B389</f>
        <v>0</v>
      </c>
      <c r="C1483" s="1936">
        <f>'Part VIII-Threshold Criteria'!C389</f>
        <v>0</v>
      </c>
      <c r="D1483" s="1936">
        <f>'Part VIII-Threshold Criteria'!D389</f>
        <v>0</v>
      </c>
      <c r="E1483" s="1936">
        <f>'Part VIII-Threshold Criteria'!E389</f>
        <v>0</v>
      </c>
      <c r="F1483" s="1936">
        <f>'Part VIII-Threshold Criteria'!F389</f>
        <v>0</v>
      </c>
      <c r="G1483" s="1936">
        <f>'Part VIII-Threshold Criteria'!G389</f>
        <v>0</v>
      </c>
      <c r="H1483" s="1936">
        <f>'Part VIII-Threshold Criteria'!H389</f>
        <v>0</v>
      </c>
      <c r="I1483" s="1936">
        <f>'Part VIII-Threshold Criteria'!I389</f>
        <v>0</v>
      </c>
      <c r="J1483" s="1936">
        <f>'Part VIII-Threshold Criteria'!J389</f>
        <v>0</v>
      </c>
      <c r="K1483" s="1936">
        <f>'Part VIII-Threshold Criteria'!K389</f>
        <v>0</v>
      </c>
      <c r="L1483" s="1936">
        <f>'Part VIII-Threshold Criteria'!L389</f>
        <v>0</v>
      </c>
      <c r="M1483" s="1936">
        <f>'Part VIII-Threshold Criteria'!M389</f>
        <v>0</v>
      </c>
      <c r="N1483" s="1936">
        <f>'Part VIII-Threshold Criteria'!N389</f>
        <v>0</v>
      </c>
      <c r="O1483" s="1936">
        <f>'Part VIII-Threshold Criteria'!O389</f>
        <v>0</v>
      </c>
      <c r="P1483" s="1936">
        <f>'Part VIII-Threshold Criteria'!P389</f>
        <v>0</v>
      </c>
      <c r="Q1483" s="1936">
        <f>'Part VIII-Threshold Criteria'!Q389</f>
        <v>0</v>
      </c>
    </row>
    <row r="1484" spans="1:17">
      <c r="A1484" s="1836"/>
      <c r="B1484" s="1934"/>
      <c r="C1484" s="1939"/>
      <c r="D1484" s="1939"/>
      <c r="E1484" s="1939"/>
      <c r="F1484" s="1939"/>
      <c r="G1484" s="1939"/>
      <c r="H1484" s="1939"/>
      <c r="I1484" s="1939"/>
      <c r="J1484" s="1939"/>
      <c r="K1484" s="1939"/>
      <c r="L1484" s="1939"/>
      <c r="M1484" s="1939"/>
      <c r="Q1484" s="1836"/>
    </row>
    <row r="1485" spans="1:17">
      <c r="A1485" s="1836"/>
      <c r="B1485" s="1934"/>
      <c r="C1485" s="1939"/>
      <c r="D1485" s="1939"/>
      <c r="E1485" s="1939"/>
      <c r="F1485" s="1939"/>
      <c r="G1485" s="1939"/>
      <c r="H1485" s="1939"/>
      <c r="I1485" s="1939"/>
      <c r="J1485" s="1939"/>
      <c r="K1485" s="1939"/>
      <c r="L1485" s="1939"/>
      <c r="M1485" s="1939"/>
      <c r="Q1485" s="1836"/>
    </row>
    <row r="1486" spans="1:17">
      <c r="A1486" s="1819" t="s">
        <v>4157</v>
      </c>
      <c r="B1486" s="1818" t="s">
        <v>2701</v>
      </c>
      <c r="C1486" s="1818"/>
      <c r="D1486" s="1818"/>
      <c r="E1486" s="1818"/>
      <c r="F1486" s="1818"/>
      <c r="G1486" s="1818"/>
      <c r="H1486" s="1939"/>
      <c r="I1486" s="1939"/>
      <c r="J1486" s="1939"/>
      <c r="O1486" s="1935" t="s">
        <v>1881</v>
      </c>
      <c r="P1486" s="1844">
        <f>'Part VIII-Threshold Criteria'!P392</f>
        <v>0</v>
      </c>
      <c r="Q1486" s="1844">
        <f>'Part VIII-Threshold Criteria'!Q392</f>
        <v>0</v>
      </c>
    </row>
    <row r="1487" spans="1:17">
      <c r="A1487" s="1975" t="s">
        <v>1999</v>
      </c>
      <c r="B1487" s="478" t="s">
        <v>1044</v>
      </c>
      <c r="E1487" s="1933">
        <f>'Part VIII-Threshold Criteria'!E393</f>
        <v>0</v>
      </c>
      <c r="F1487" s="1933">
        <f>'Part VIII-Threshold Criteria'!F393</f>
        <v>0</v>
      </c>
      <c r="G1487" s="1933">
        <f>'Part VIII-Threshold Criteria'!G393</f>
        <v>0</v>
      </c>
      <c r="H1487" s="1933">
        <f>'Part VIII-Threshold Criteria'!H393</f>
        <v>0</v>
      </c>
      <c r="I1487" s="1933">
        <f>'Part VIII-Threshold Criteria'!I393</f>
        <v>0</v>
      </c>
      <c r="J1487" s="478" t="s">
        <v>2688</v>
      </c>
      <c r="K1487" s="478"/>
      <c r="L1487" s="478"/>
      <c r="M1487" s="1933">
        <f>'Part VIII-Threshold Criteria'!M393</f>
        <v>0</v>
      </c>
      <c r="N1487" s="1933">
        <f>'Part VIII-Threshold Criteria'!N393</f>
        <v>0</v>
      </c>
      <c r="O1487" s="1933">
        <f>'Part VIII-Threshold Criteria'!O393</f>
        <v>0</v>
      </c>
      <c r="P1487" s="1933">
        <f>'Part VIII-Threshold Criteria'!P393</f>
        <v>0</v>
      </c>
      <c r="Q1487" s="1933">
        <f>'Part VIII-Threshold Criteria'!Q393</f>
        <v>0</v>
      </c>
    </row>
    <row r="1488" spans="1:17">
      <c r="A1488" s="1975" t="s">
        <v>2001</v>
      </c>
      <c r="B1488" s="478" t="s">
        <v>3486</v>
      </c>
      <c r="D1488" s="478"/>
      <c r="E1488" s="478"/>
      <c r="F1488" s="478"/>
      <c r="G1488" s="478"/>
      <c r="H1488" s="478"/>
      <c r="I1488" s="478"/>
      <c r="J1488" s="478"/>
      <c r="K1488" s="478"/>
      <c r="L1488" s="1872"/>
      <c r="M1488" s="1872"/>
      <c r="O1488" s="1977" t="s">
        <v>2001</v>
      </c>
      <c r="P1488" s="1942">
        <f>'Part VIII-Threshold Criteria'!P394</f>
        <v>0</v>
      </c>
      <c r="Q1488" s="1942">
        <f>'Part VIII-Threshold Criteria'!Q394</f>
        <v>0</v>
      </c>
    </row>
    <row r="1489" spans="1:17" ht="12.75" customHeight="1">
      <c r="A1489" s="1973" t="s">
        <v>757</v>
      </c>
      <c r="B1489" s="1936" t="s">
        <v>3496</v>
      </c>
      <c r="C1489" s="1936"/>
      <c r="D1489" s="1936"/>
      <c r="E1489" s="1936"/>
      <c r="F1489" s="1936"/>
      <c r="G1489" s="1936"/>
      <c r="H1489" s="1936"/>
      <c r="I1489" s="1936"/>
      <c r="J1489" s="1936"/>
      <c r="K1489" s="1936"/>
      <c r="L1489" s="1936"/>
      <c r="M1489" s="1936"/>
      <c r="N1489" s="1936"/>
      <c r="O1489" s="1987" t="s">
        <v>757</v>
      </c>
      <c r="P1489" s="1988">
        <f>'Part VIII-Threshold Criteria'!P395</f>
        <v>0</v>
      </c>
      <c r="Q1489" s="1988">
        <f>'Part VIII-Threshold Criteria'!Q395</f>
        <v>0</v>
      </c>
    </row>
    <row r="1490" spans="1:17">
      <c r="A1490" s="1975" t="s">
        <v>2131</v>
      </c>
      <c r="B1490" s="1156" t="s">
        <v>3724</v>
      </c>
      <c r="G1490" s="1866"/>
      <c r="H1490" s="1866"/>
      <c r="I1490" s="1866"/>
      <c r="J1490" s="1872" t="s">
        <v>3725</v>
      </c>
      <c r="L1490" s="1866"/>
      <c r="M1490" s="2016">
        <f>'Part III-Sources of Funds'!E1105</f>
        <v>0</v>
      </c>
      <c r="N1490" s="2016"/>
      <c r="O1490" s="1977" t="s">
        <v>2131</v>
      </c>
      <c r="P1490" s="1942">
        <f>'Part VIII-Threshold Criteria'!P396</f>
        <v>0</v>
      </c>
      <c r="Q1490" s="1942">
        <f>'Part VIII-Threshold Criteria'!Q396</f>
        <v>0</v>
      </c>
    </row>
    <row r="1491" spans="1:17">
      <c r="B1491" s="1873" t="s">
        <v>3779</v>
      </c>
      <c r="D1491" s="1873"/>
      <c r="E1491" s="1873"/>
      <c r="F1491" s="1873"/>
      <c r="G1491" s="1873"/>
      <c r="H1491" s="1872"/>
      <c r="I1491" s="1934"/>
      <c r="J1491" s="1934"/>
      <c r="K1491" s="1934"/>
      <c r="L1491" s="1836"/>
      <c r="M1491" s="1836"/>
      <c r="N1491" s="1836"/>
      <c r="O1491" s="1836"/>
      <c r="P1491" s="1836"/>
      <c r="Q1491" s="1836"/>
    </row>
    <row r="1492" spans="1:17" ht="22.5">
      <c r="A1492" s="1936" t="str">
        <f>'Part VIII-Threshold Criteria'!A398</f>
        <v>This tab is N/A</v>
      </c>
      <c r="B1492" s="1936">
        <f>'Part VIII-Threshold Criteria'!B398</f>
        <v>0</v>
      </c>
      <c r="C1492" s="1936">
        <f>'Part VIII-Threshold Criteria'!C398</f>
        <v>0</v>
      </c>
      <c r="D1492" s="1936">
        <f>'Part VIII-Threshold Criteria'!D398</f>
        <v>0</v>
      </c>
      <c r="E1492" s="1936">
        <f>'Part VIII-Threshold Criteria'!E398</f>
        <v>0</v>
      </c>
      <c r="F1492" s="1936">
        <f>'Part VIII-Threshold Criteria'!F398</f>
        <v>0</v>
      </c>
      <c r="G1492" s="1936">
        <f>'Part VIII-Threshold Criteria'!G398</f>
        <v>0</v>
      </c>
      <c r="H1492" s="1936">
        <f>'Part VIII-Threshold Criteria'!H398</f>
        <v>0</v>
      </c>
      <c r="I1492" s="1936">
        <f>'Part VIII-Threshold Criteria'!I398</f>
        <v>0</v>
      </c>
      <c r="J1492" s="1936">
        <f>'Part VIII-Threshold Criteria'!J398</f>
        <v>0</v>
      </c>
      <c r="K1492" s="1936">
        <f>'Part VIII-Threshold Criteria'!K398</f>
        <v>0</v>
      </c>
      <c r="L1492" s="1936">
        <f>'Part VIII-Threshold Criteria'!L398</f>
        <v>0</v>
      </c>
      <c r="M1492" s="1936">
        <f>'Part VIII-Threshold Criteria'!M398</f>
        <v>0</v>
      </c>
      <c r="N1492" s="1936">
        <f>'Part VIII-Threshold Criteria'!N398</f>
        <v>0</v>
      </c>
      <c r="O1492" s="1936">
        <f>'Part VIII-Threshold Criteria'!O398</f>
        <v>0</v>
      </c>
      <c r="P1492" s="1936">
        <f>'Part VIII-Threshold Criteria'!P398</f>
        <v>0</v>
      </c>
      <c r="Q1492" s="1936">
        <f>'Part VIII-Threshold Criteria'!Q398</f>
        <v>0</v>
      </c>
    </row>
    <row r="1493" spans="1:17">
      <c r="B1493" s="1937" t="s">
        <v>1880</v>
      </c>
      <c r="C1493" s="1938"/>
      <c r="D1493" s="1939"/>
      <c r="E1493" s="1939"/>
      <c r="F1493" s="1939"/>
      <c r="G1493" s="1939"/>
      <c r="H1493" s="1939"/>
      <c r="I1493" s="1939"/>
      <c r="J1493" s="1939"/>
      <c r="K1493" s="1939"/>
      <c r="L1493" s="1939"/>
      <c r="M1493" s="1939"/>
      <c r="N1493" s="1939"/>
      <c r="O1493" s="1939"/>
      <c r="P1493" s="1939"/>
      <c r="Q1493" s="1939"/>
    </row>
    <row r="1494" spans="1:17">
      <c r="A1494" s="1936">
        <f>'Part VIII-Threshold Criteria'!A400</f>
        <v>0</v>
      </c>
      <c r="B1494" s="1936">
        <f>'Part VIII-Threshold Criteria'!B400</f>
        <v>0</v>
      </c>
      <c r="C1494" s="1936">
        <f>'Part VIII-Threshold Criteria'!C400</f>
        <v>0</v>
      </c>
      <c r="D1494" s="1936">
        <f>'Part VIII-Threshold Criteria'!D400</f>
        <v>0</v>
      </c>
      <c r="E1494" s="1936">
        <f>'Part VIII-Threshold Criteria'!E400</f>
        <v>0</v>
      </c>
      <c r="F1494" s="1936">
        <f>'Part VIII-Threshold Criteria'!F400</f>
        <v>0</v>
      </c>
      <c r="G1494" s="1936">
        <f>'Part VIII-Threshold Criteria'!G400</f>
        <v>0</v>
      </c>
      <c r="H1494" s="1936">
        <f>'Part VIII-Threshold Criteria'!H400</f>
        <v>0</v>
      </c>
      <c r="I1494" s="1936">
        <f>'Part VIII-Threshold Criteria'!I400</f>
        <v>0</v>
      </c>
      <c r="J1494" s="1936">
        <f>'Part VIII-Threshold Criteria'!J400</f>
        <v>0</v>
      </c>
      <c r="K1494" s="1936">
        <f>'Part VIII-Threshold Criteria'!K400</f>
        <v>0</v>
      </c>
      <c r="L1494" s="1936">
        <f>'Part VIII-Threshold Criteria'!L400</f>
        <v>0</v>
      </c>
      <c r="M1494" s="1936">
        <f>'Part VIII-Threshold Criteria'!M400</f>
        <v>0</v>
      </c>
      <c r="N1494" s="1936">
        <f>'Part VIII-Threshold Criteria'!N400</f>
        <v>0</v>
      </c>
      <c r="O1494" s="1936">
        <f>'Part VIII-Threshold Criteria'!O400</f>
        <v>0</v>
      </c>
      <c r="P1494" s="1936">
        <f>'Part VIII-Threshold Criteria'!P400</f>
        <v>0</v>
      </c>
      <c r="Q1494" s="1936">
        <f>'Part VIII-Threshold Criteria'!Q400</f>
        <v>0</v>
      </c>
    </row>
    <row r="1495" spans="1:17">
      <c r="A1495" s="1836"/>
      <c r="B1495" s="1934"/>
      <c r="C1495" s="1939"/>
      <c r="D1495" s="1939"/>
      <c r="E1495" s="1939"/>
      <c r="F1495" s="1939"/>
      <c r="G1495" s="1939"/>
      <c r="H1495" s="1939"/>
      <c r="I1495" s="1939"/>
      <c r="J1495" s="1939"/>
      <c r="K1495" s="1939"/>
      <c r="L1495" s="1939"/>
      <c r="M1495" s="1939"/>
      <c r="Q1495" s="1836"/>
    </row>
    <row r="1496" spans="1:17">
      <c r="A1496" s="1819" t="s">
        <v>4158</v>
      </c>
      <c r="B1496" s="1818" t="s">
        <v>2685</v>
      </c>
      <c r="C1496" s="1818"/>
      <c r="D1496" s="1818"/>
      <c r="E1496" s="1939"/>
      <c r="G1496" s="1961" t="s">
        <v>708</v>
      </c>
      <c r="H1496" s="1939"/>
      <c r="I1496" s="1939"/>
      <c r="J1496" s="1939"/>
      <c r="K1496" s="1939"/>
      <c r="L1496" s="1939"/>
      <c r="M1496" s="1939"/>
      <c r="O1496" s="1935" t="s">
        <v>1881</v>
      </c>
      <c r="P1496" s="1844">
        <f>'Part VIII-Threshold Criteria'!P402</f>
        <v>0</v>
      </c>
      <c r="Q1496" s="1844">
        <f>'Part VIII-Threshold Criteria'!Q402</f>
        <v>0</v>
      </c>
    </row>
    <row r="1497" spans="1:17">
      <c r="A1497" s="1975" t="s">
        <v>1999</v>
      </c>
      <c r="B1497" s="478" t="s">
        <v>2690</v>
      </c>
      <c r="D1497" s="1936"/>
      <c r="E1497" s="1936"/>
      <c r="H1497" s="1961"/>
      <c r="O1497" s="1977" t="s">
        <v>1999</v>
      </c>
      <c r="P1497" s="1942" t="str">
        <f>'Part VIII-Threshold Criteria'!P403</f>
        <v>No</v>
      </c>
      <c r="Q1497" s="1942">
        <f>'Part VIII-Threshold Criteria'!Q403</f>
        <v>0</v>
      </c>
    </row>
    <row r="1498" spans="1:17">
      <c r="A1498" s="1975" t="s">
        <v>2001</v>
      </c>
      <c r="B1498" s="478" t="s">
        <v>3607</v>
      </c>
      <c r="D1498" s="1936"/>
      <c r="E1498" s="1936"/>
      <c r="O1498" s="1977" t="s">
        <v>2001</v>
      </c>
      <c r="P1498" s="1942" t="str">
        <f>'Part VIII-Threshold Criteria'!P404</f>
        <v>No</v>
      </c>
      <c r="Q1498" s="1942">
        <f>'Part VIII-Threshold Criteria'!Q404</f>
        <v>0</v>
      </c>
    </row>
    <row r="1499" spans="1:17">
      <c r="A1499" s="1975" t="s">
        <v>757</v>
      </c>
      <c r="B1499" s="478" t="s">
        <v>4121</v>
      </c>
      <c r="D1499" s="1936"/>
      <c r="E1499" s="1936"/>
      <c r="O1499" s="1977" t="s">
        <v>757</v>
      </c>
      <c r="P1499" s="1942" t="str">
        <f>'Part VIII-Threshold Criteria'!P405</f>
        <v>Yes</v>
      </c>
      <c r="Q1499" s="1942">
        <f>'Part VIII-Threshold Criteria'!Q405</f>
        <v>0</v>
      </c>
    </row>
    <row r="1500" spans="1:17">
      <c r="A1500" s="1975" t="s">
        <v>2131</v>
      </c>
      <c r="B1500" s="478" t="s">
        <v>3608</v>
      </c>
      <c r="E1500" s="1961"/>
      <c r="O1500" s="1977" t="s">
        <v>2131</v>
      </c>
      <c r="P1500" s="1942" t="str">
        <f>'Part VIII-Threshold Criteria'!P406</f>
        <v>No</v>
      </c>
      <c r="Q1500" s="1942">
        <f>'Part VIII-Threshold Criteria'!Q406</f>
        <v>0</v>
      </c>
    </row>
    <row r="1501" spans="1:17">
      <c r="A1501" s="1975" t="s">
        <v>1748</v>
      </c>
      <c r="B1501" s="478" t="s">
        <v>2095</v>
      </c>
      <c r="E1501" s="1961"/>
      <c r="G1501" s="1977" t="s">
        <v>1748</v>
      </c>
      <c r="H1501" s="1901" t="str">
        <f>'Part VIII-Threshold Criteria'!H407</f>
        <v>N/A</v>
      </c>
      <c r="I1501" s="1901">
        <f>'Part VIII-Threshold Criteria'!I407</f>
        <v>0</v>
      </c>
      <c r="J1501" s="1901">
        <f>'Part VIII-Threshold Criteria'!J407</f>
        <v>0</v>
      </c>
      <c r="K1501" s="1901">
        <f>'Part VIII-Threshold Criteria'!K407</f>
        <v>0</v>
      </c>
      <c r="L1501" s="1901">
        <f>'Part VIII-Threshold Criteria'!L407</f>
        <v>0</v>
      </c>
      <c r="M1501" s="1901">
        <f>'Part VIII-Threshold Criteria'!M407</f>
        <v>0</v>
      </c>
      <c r="N1501" s="1901">
        <f>'Part VIII-Threshold Criteria'!N407</f>
        <v>0</v>
      </c>
      <c r="O1501" s="1901">
        <f>'Part VIII-Threshold Criteria'!O407</f>
        <v>0</v>
      </c>
      <c r="P1501" s="1942">
        <f>'Part VIII-Threshold Criteria'!P407</f>
        <v>0</v>
      </c>
      <c r="Q1501" s="1942">
        <f>'Part VIII-Threshold Criteria'!Q407</f>
        <v>0</v>
      </c>
    </row>
    <row r="1502" spans="1:17">
      <c r="B1502" s="1873" t="s">
        <v>3779</v>
      </c>
      <c r="D1502" s="1873"/>
      <c r="E1502" s="1873"/>
      <c r="F1502" s="1873"/>
      <c r="G1502" s="1873"/>
      <c r="H1502" s="1872"/>
      <c r="I1502" s="1934"/>
      <c r="J1502" s="1934"/>
      <c r="K1502" s="1934"/>
      <c r="L1502" s="1836"/>
      <c r="M1502" s="1836"/>
      <c r="N1502" s="1836"/>
      <c r="O1502" s="1836"/>
      <c r="P1502" s="1836"/>
      <c r="Q1502" s="1836"/>
    </row>
    <row r="1503" spans="1:17" ht="247.5">
      <c r="A1503" s="1936" t="str">
        <f>'Part VIII-Threshold Criteria'!A409</f>
        <v>Tindall Fields III meets Threshold approval under the Non-Profit Set-Aside based upon the opinion of Scott Spivey, our attorney who specializes in tax law.  Please see Tabs 21-01 and 24-03 for this documentation.</v>
      </c>
      <c r="B1503" s="1936">
        <f>'Part VIII-Threshold Criteria'!B409</f>
        <v>0</v>
      </c>
      <c r="C1503" s="1936">
        <f>'Part VIII-Threshold Criteria'!C409</f>
        <v>0</v>
      </c>
      <c r="D1503" s="1936">
        <f>'Part VIII-Threshold Criteria'!D409</f>
        <v>0</v>
      </c>
      <c r="E1503" s="1936">
        <f>'Part VIII-Threshold Criteria'!E409</f>
        <v>0</v>
      </c>
      <c r="F1503" s="1936">
        <f>'Part VIII-Threshold Criteria'!F409</f>
        <v>0</v>
      </c>
      <c r="G1503" s="1936">
        <f>'Part VIII-Threshold Criteria'!G409</f>
        <v>0</v>
      </c>
      <c r="H1503" s="1936">
        <f>'Part VIII-Threshold Criteria'!H409</f>
        <v>0</v>
      </c>
      <c r="I1503" s="1936">
        <f>'Part VIII-Threshold Criteria'!I409</f>
        <v>0</v>
      </c>
      <c r="J1503" s="1936">
        <f>'Part VIII-Threshold Criteria'!J409</f>
        <v>0</v>
      </c>
      <c r="K1503" s="1936">
        <f>'Part VIII-Threshold Criteria'!K409</f>
        <v>0</v>
      </c>
      <c r="L1503" s="1936">
        <f>'Part VIII-Threshold Criteria'!L409</f>
        <v>0</v>
      </c>
      <c r="M1503" s="1936">
        <f>'Part VIII-Threshold Criteria'!M409</f>
        <v>0</v>
      </c>
      <c r="N1503" s="1936">
        <f>'Part VIII-Threshold Criteria'!N409</f>
        <v>0</v>
      </c>
      <c r="O1503" s="1936">
        <f>'Part VIII-Threshold Criteria'!O409</f>
        <v>0</v>
      </c>
      <c r="P1503" s="1936">
        <f>'Part VIII-Threshold Criteria'!P409</f>
        <v>0</v>
      </c>
      <c r="Q1503" s="1936">
        <f>'Part VIII-Threshold Criteria'!Q409</f>
        <v>0</v>
      </c>
    </row>
    <row r="1504" spans="1:17">
      <c r="B1504" s="1937" t="s">
        <v>1880</v>
      </c>
      <c r="C1504" s="1938"/>
      <c r="D1504" s="1939"/>
      <c r="E1504" s="1939"/>
      <c r="F1504" s="1939"/>
      <c r="G1504" s="1939"/>
      <c r="H1504" s="1939"/>
      <c r="I1504" s="1939"/>
      <c r="J1504" s="1939"/>
      <c r="K1504" s="1939"/>
      <c r="L1504" s="1939"/>
      <c r="M1504" s="1939"/>
      <c r="N1504" s="1939"/>
      <c r="O1504" s="1939"/>
      <c r="P1504" s="1939"/>
      <c r="Q1504" s="1939"/>
    </row>
    <row r="1505" spans="1:17">
      <c r="A1505" s="1936">
        <f>'Part VIII-Threshold Criteria'!A411</f>
        <v>0</v>
      </c>
      <c r="B1505" s="1936">
        <f>'Part VIII-Threshold Criteria'!B411</f>
        <v>0</v>
      </c>
      <c r="C1505" s="1936">
        <f>'Part VIII-Threshold Criteria'!C411</f>
        <v>0</v>
      </c>
      <c r="D1505" s="1936">
        <f>'Part VIII-Threshold Criteria'!D411</f>
        <v>0</v>
      </c>
      <c r="E1505" s="1936">
        <f>'Part VIII-Threshold Criteria'!E411</f>
        <v>0</v>
      </c>
      <c r="F1505" s="1936">
        <f>'Part VIII-Threshold Criteria'!F411</f>
        <v>0</v>
      </c>
      <c r="G1505" s="1936">
        <f>'Part VIII-Threshold Criteria'!G411</f>
        <v>0</v>
      </c>
      <c r="H1505" s="1936">
        <f>'Part VIII-Threshold Criteria'!H411</f>
        <v>0</v>
      </c>
      <c r="I1505" s="1936">
        <f>'Part VIII-Threshold Criteria'!I411</f>
        <v>0</v>
      </c>
      <c r="J1505" s="1936">
        <f>'Part VIII-Threshold Criteria'!J411</f>
        <v>0</v>
      </c>
      <c r="K1505" s="1936">
        <f>'Part VIII-Threshold Criteria'!K411</f>
        <v>0</v>
      </c>
      <c r="L1505" s="1936">
        <f>'Part VIII-Threshold Criteria'!L411</f>
        <v>0</v>
      </c>
      <c r="M1505" s="1936">
        <f>'Part VIII-Threshold Criteria'!M411</f>
        <v>0</v>
      </c>
      <c r="N1505" s="1936">
        <f>'Part VIII-Threshold Criteria'!N411</f>
        <v>0</v>
      </c>
      <c r="O1505" s="1936">
        <f>'Part VIII-Threshold Criteria'!O411</f>
        <v>0</v>
      </c>
      <c r="P1505" s="1936">
        <f>'Part VIII-Threshold Criteria'!P411</f>
        <v>0</v>
      </c>
      <c r="Q1505" s="1936">
        <f>'Part VIII-Threshold Criteria'!Q411</f>
        <v>0</v>
      </c>
    </row>
    <row r="1506" spans="1:17">
      <c r="A1506" s="1836"/>
      <c r="B1506" s="1934"/>
      <c r="C1506" s="1939"/>
      <c r="D1506" s="1939"/>
      <c r="E1506" s="1939"/>
      <c r="F1506" s="1939"/>
      <c r="G1506" s="1939"/>
      <c r="H1506" s="1939"/>
      <c r="I1506" s="1939"/>
      <c r="J1506" s="1939"/>
      <c r="K1506" s="1939"/>
      <c r="L1506" s="1939"/>
      <c r="M1506" s="1939"/>
      <c r="N1506" s="1939"/>
      <c r="O1506" s="1939"/>
      <c r="P1506" s="1939"/>
      <c r="Q1506" s="1836"/>
    </row>
    <row r="1507" spans="1:17">
      <c r="A1507" s="1819" t="s">
        <v>4159</v>
      </c>
      <c r="B1507" s="1818" t="s">
        <v>2686</v>
      </c>
      <c r="C1507" s="1818"/>
      <c r="D1507" s="1818"/>
      <c r="E1507" s="1818"/>
      <c r="F1507" s="1818"/>
      <c r="G1507" s="1818"/>
      <c r="H1507" s="1939"/>
      <c r="I1507" s="1939"/>
      <c r="J1507" s="1939"/>
      <c r="K1507" s="1939"/>
      <c r="L1507" s="1939"/>
      <c r="M1507" s="1939"/>
      <c r="O1507" s="1935" t="s">
        <v>1881</v>
      </c>
      <c r="P1507" s="1844">
        <f>'Part VIII-Threshold Criteria'!P413</f>
        <v>0</v>
      </c>
      <c r="Q1507" s="1844">
        <f>'Part VIII-Threshold Criteria'!Q413</f>
        <v>0</v>
      </c>
    </row>
    <row r="1508" spans="1:17">
      <c r="A1508" s="1975" t="s">
        <v>1999</v>
      </c>
      <c r="B1508" s="478" t="s">
        <v>760</v>
      </c>
      <c r="D1508" s="1629"/>
      <c r="E1508" s="1629"/>
      <c r="F1508" s="1629"/>
      <c r="G1508" s="1629"/>
      <c r="H1508" s="1629"/>
      <c r="I1508" s="1629"/>
      <c r="J1508" s="1629"/>
      <c r="K1508" s="1629"/>
      <c r="L1508" s="1629"/>
      <c r="M1508" s="1629"/>
      <c r="N1508" s="1629"/>
      <c r="O1508" s="1977" t="s">
        <v>1999</v>
      </c>
      <c r="P1508" s="1942" t="str">
        <f>'Part VIII-Threshold Criteria'!P414</f>
        <v>No</v>
      </c>
      <c r="Q1508" s="1942">
        <f>'Part VIII-Threshold Criteria'!Q414</f>
        <v>0</v>
      </c>
    </row>
    <row r="1509" spans="1:17">
      <c r="A1509" s="1975" t="s">
        <v>2001</v>
      </c>
      <c r="B1509" s="478" t="s">
        <v>3498</v>
      </c>
      <c r="D1509" s="1629"/>
      <c r="E1509" s="1629"/>
      <c r="F1509" s="1629"/>
      <c r="G1509" s="1629"/>
      <c r="H1509" s="1629"/>
      <c r="I1509" s="1629"/>
      <c r="J1509" s="1629"/>
      <c r="K1509" s="1629"/>
      <c r="L1509" s="1629"/>
      <c r="M1509" s="1629"/>
      <c r="N1509" s="1629"/>
      <c r="O1509" s="1977" t="s">
        <v>1458</v>
      </c>
      <c r="P1509" s="1942">
        <f>'Part VIII-Threshold Criteria'!P415</f>
        <v>0</v>
      </c>
      <c r="Q1509" s="1942">
        <f>'Part VIII-Threshold Criteria'!Q415</f>
        <v>0</v>
      </c>
    </row>
    <row r="1510" spans="1:17">
      <c r="A1510" s="1975"/>
      <c r="B1510" s="478" t="s">
        <v>1495</v>
      </c>
      <c r="D1510" s="478"/>
      <c r="E1510" s="478"/>
      <c r="F1510" s="478"/>
      <c r="G1510" s="478"/>
      <c r="H1510" s="478"/>
      <c r="I1510" s="478"/>
      <c r="J1510" s="478"/>
      <c r="K1510" s="478"/>
      <c r="L1510" s="478"/>
      <c r="M1510" s="478"/>
      <c r="N1510" s="1629"/>
    </row>
    <row r="1511" spans="1:17">
      <c r="A1511" s="1975"/>
      <c r="B1511" s="478" t="s">
        <v>1751</v>
      </c>
      <c r="C1511" s="478" t="s">
        <v>3497</v>
      </c>
      <c r="E1511" s="478"/>
      <c r="F1511" s="478"/>
      <c r="G1511" s="478"/>
      <c r="H1511" s="478"/>
      <c r="I1511" s="478"/>
      <c r="J1511" s="478"/>
      <c r="K1511" s="478"/>
      <c r="L1511" s="478"/>
      <c r="M1511" s="478"/>
      <c r="N1511" s="1629"/>
      <c r="O1511" s="1977" t="s">
        <v>1751</v>
      </c>
      <c r="P1511" s="1942">
        <f>'Part VIII-Threshold Criteria'!P417</f>
        <v>0</v>
      </c>
      <c r="Q1511" s="1942">
        <f>'Part VIII-Threshold Criteria'!Q417</f>
        <v>0</v>
      </c>
    </row>
    <row r="1512" spans="1:17">
      <c r="A1512" s="1975"/>
      <c r="B1512" s="478" t="s">
        <v>3594</v>
      </c>
      <c r="C1512" s="478" t="s">
        <v>3595</v>
      </c>
      <c r="E1512" s="478"/>
      <c r="F1512" s="478"/>
      <c r="G1512" s="478"/>
      <c r="H1512" s="478"/>
      <c r="I1512" s="478"/>
      <c r="J1512" s="478"/>
      <c r="K1512" s="478"/>
      <c r="L1512" s="478"/>
      <c r="M1512" s="478"/>
      <c r="N1512" s="1629"/>
      <c r="O1512" s="1977" t="s">
        <v>1752</v>
      </c>
      <c r="P1512" s="1942">
        <f>'Part VIII-Threshold Criteria'!P418</f>
        <v>0</v>
      </c>
      <c r="Q1512" s="1942">
        <f>'Part VIII-Threshold Criteria'!Q418</f>
        <v>0</v>
      </c>
    </row>
    <row r="1513" spans="1:17">
      <c r="A1513" s="1975" t="s">
        <v>757</v>
      </c>
      <c r="B1513" s="478" t="s">
        <v>2217</v>
      </c>
      <c r="C1513" s="478"/>
      <c r="E1513" s="478"/>
      <c r="F1513" s="478"/>
      <c r="G1513" s="478"/>
      <c r="H1513" s="478"/>
      <c r="I1513" s="478"/>
      <c r="J1513" s="478"/>
      <c r="K1513" s="478"/>
      <c r="L1513" s="478"/>
      <c r="M1513" s="478"/>
      <c r="N1513" s="478"/>
      <c r="O1513" s="1977" t="s">
        <v>757</v>
      </c>
      <c r="P1513" s="1942">
        <f>'Part VIII-Threshold Criteria'!P419</f>
        <v>0</v>
      </c>
      <c r="Q1513" s="1942">
        <f>'Part VIII-Threshold Criteria'!Q419</f>
        <v>0</v>
      </c>
    </row>
    <row r="1514" spans="1:17">
      <c r="A1514" s="1975" t="s">
        <v>2131</v>
      </c>
      <c r="B1514" s="1872" t="s">
        <v>2833</v>
      </c>
      <c r="C1514" s="1872"/>
      <c r="E1514" s="1872"/>
      <c r="F1514" s="1872"/>
      <c r="G1514" s="1872"/>
      <c r="H1514" s="1872"/>
      <c r="I1514" s="1872"/>
      <c r="J1514" s="1872"/>
      <c r="K1514" s="1872"/>
      <c r="L1514" s="1872"/>
      <c r="M1514" s="1872"/>
      <c r="N1514" s="1629"/>
      <c r="O1514" s="1977"/>
      <c r="P1514" s="1629"/>
      <c r="Q1514" s="1629"/>
    </row>
    <row r="1515" spans="1:17">
      <c r="A1515" s="1975"/>
      <c r="B1515" s="478" t="s">
        <v>2218</v>
      </c>
      <c r="C1515" s="478"/>
      <c r="E1515" s="1629"/>
      <c r="F1515" s="1872"/>
      <c r="G1515" s="1836">
        <f>'Part VIII-Threshold Criteria'!G421</f>
        <v>0</v>
      </c>
      <c r="H1515" s="1831">
        <f>'Part VIII-Threshold Criteria'!H421</f>
        <v>0</v>
      </c>
      <c r="J1515" s="478" t="s">
        <v>2221</v>
      </c>
      <c r="K1515" s="1872"/>
      <c r="N1515" s="1836">
        <f>'Part VIII-Threshold Criteria'!N421</f>
        <v>0</v>
      </c>
      <c r="O1515" s="1831">
        <f>'Part VIII-Threshold Criteria'!O421</f>
        <v>0</v>
      </c>
    </row>
    <row r="1516" spans="1:17">
      <c r="A1516" s="1975"/>
      <c r="B1516" s="478" t="s">
        <v>2219</v>
      </c>
      <c r="C1516" s="478"/>
      <c r="E1516" s="1629"/>
      <c r="F1516" s="1872"/>
      <c r="G1516" s="1836">
        <f>'Part VIII-Threshold Criteria'!G422</f>
        <v>0</v>
      </c>
      <c r="H1516" s="1831">
        <f>'Part VIII-Threshold Criteria'!H422</f>
        <v>0</v>
      </c>
      <c r="J1516" s="478" t="s">
        <v>2222</v>
      </c>
      <c r="K1516" s="1872"/>
      <c r="N1516" s="1836">
        <f>'Part VIII-Threshold Criteria'!N422</f>
        <v>0</v>
      </c>
      <c r="O1516" s="1831">
        <f>'Part VIII-Threshold Criteria'!O422</f>
        <v>0</v>
      </c>
    </row>
    <row r="1517" spans="1:17">
      <c r="A1517" s="1975"/>
      <c r="B1517" s="478" t="s">
        <v>2220</v>
      </c>
      <c r="C1517" s="478"/>
      <c r="E1517" s="1629"/>
      <c r="F1517" s="1872"/>
      <c r="G1517" s="1836">
        <f>'Part VIII-Threshold Criteria'!G423</f>
        <v>0</v>
      </c>
      <c r="H1517" s="1831">
        <f>'Part VIII-Threshold Criteria'!H423</f>
        <v>0</v>
      </c>
      <c r="K1517" s="1872"/>
      <c r="L1517" s="1872"/>
      <c r="M1517" s="1872"/>
      <c r="N1517" s="1629"/>
      <c r="O1517" s="1977"/>
    </row>
    <row r="1518" spans="1:17">
      <c r="A1518" s="1975" t="s">
        <v>1748</v>
      </c>
      <c r="B1518" s="1872" t="s">
        <v>2401</v>
      </c>
      <c r="C1518" s="1872"/>
      <c r="E1518" s="1872"/>
      <c r="F1518" s="1872"/>
      <c r="G1518" s="1872"/>
      <c r="J1518" s="1629"/>
      <c r="K1518" s="1872"/>
      <c r="L1518" s="1872"/>
      <c r="M1518" s="1872"/>
      <c r="N1518" s="1629"/>
      <c r="O1518" s="1977"/>
      <c r="P1518" s="1977"/>
      <c r="Q1518" s="1977"/>
    </row>
    <row r="1519" spans="1:17">
      <c r="A1519" s="1629"/>
      <c r="B1519" s="1156" t="s">
        <v>2223</v>
      </c>
      <c r="C1519" s="1872"/>
      <c r="E1519" s="1872"/>
      <c r="F1519" s="1872"/>
      <c r="G1519" s="1942">
        <f>'Part VIII-Threshold Criteria'!G425</f>
        <v>0</v>
      </c>
      <c r="H1519" s="1942">
        <f>'Part VIII-Threshold Criteria'!H425</f>
        <v>0</v>
      </c>
      <c r="J1519" s="1156" t="s">
        <v>1193</v>
      </c>
      <c r="K1519" s="1872"/>
      <c r="N1519" s="1942">
        <f>'Part VIII-Threshold Criteria'!N425</f>
        <v>0</v>
      </c>
      <c r="O1519" s="1942">
        <f>'Part VIII-Threshold Criteria'!O425</f>
        <v>0</v>
      </c>
    </row>
    <row r="1520" spans="1:17">
      <c r="A1520" s="1629"/>
      <c r="B1520" s="1156" t="s">
        <v>1192</v>
      </c>
      <c r="C1520" s="1872"/>
      <c r="E1520" s="1872"/>
      <c r="F1520" s="1872"/>
      <c r="G1520" s="1942">
        <f>'Part VIII-Threshold Criteria'!G426</f>
        <v>0</v>
      </c>
      <c r="H1520" s="1942">
        <f>'Part VIII-Threshold Criteria'!H426</f>
        <v>0</v>
      </c>
      <c r="J1520" s="1156" t="s">
        <v>2269</v>
      </c>
      <c r="N1520" s="1894">
        <f>'Part VIII-Threshold Criteria'!N426</f>
        <v>0</v>
      </c>
      <c r="O1520" s="1894">
        <f>'Part VIII-Threshold Criteria'!O426</f>
        <v>0</v>
      </c>
      <c r="P1520" s="1894">
        <f>'Part VIII-Threshold Criteria'!P426</f>
        <v>0</v>
      </c>
      <c r="Q1520" s="1894">
        <f>'Part VIII-Threshold Criteria'!Q426</f>
        <v>0</v>
      </c>
    </row>
    <row r="1521" spans="1:17">
      <c r="B1521" s="1873" t="s">
        <v>3779</v>
      </c>
      <c r="D1521" s="1873"/>
      <c r="E1521" s="1873"/>
      <c r="F1521" s="1873"/>
      <c r="G1521" s="1873"/>
      <c r="H1521" s="1872"/>
      <c r="I1521" s="1934"/>
      <c r="J1521" s="1934"/>
      <c r="K1521" s="1934"/>
      <c r="P1521" s="1836"/>
      <c r="Q1521" s="1836"/>
    </row>
    <row r="1522" spans="1:17" ht="409.5">
      <c r="A1522" s="1936" t="str">
        <f>'Part VIII-Threshold Criteria'!A428</f>
        <v xml:space="preserve">Tindall Fields III meets Threshold approval as this Tab is N/A and we have submitted the DCA Site Relocation Survey form at Tab 25-01 as required. As part of its role in the redevelopment of the former Tindall Heights public housing development, MHA assumed full responsibility for the relocation of the Tindall residents.  All relocation was completed in 2016, outside the scope of this application.  MHA also assumed full responsibility for the demolition of all Tindall public housing units and this work is also completed.  Please see Tab 44-01 for further information about MHA’s role with relocation and in giving the four Tindall partnerships a “green field” on which to build the new affordable housing.  </v>
      </c>
      <c r="B1522" s="1936">
        <f>'Part VIII-Threshold Criteria'!B428</f>
        <v>0</v>
      </c>
      <c r="C1522" s="1936">
        <f>'Part VIII-Threshold Criteria'!C428</f>
        <v>0</v>
      </c>
      <c r="D1522" s="1936">
        <f>'Part VIII-Threshold Criteria'!D428</f>
        <v>0</v>
      </c>
      <c r="E1522" s="1936">
        <f>'Part VIII-Threshold Criteria'!E428</f>
        <v>0</v>
      </c>
      <c r="F1522" s="1936">
        <f>'Part VIII-Threshold Criteria'!F428</f>
        <v>0</v>
      </c>
      <c r="G1522" s="1936">
        <f>'Part VIII-Threshold Criteria'!G428</f>
        <v>0</v>
      </c>
      <c r="H1522" s="1936">
        <f>'Part VIII-Threshold Criteria'!H428</f>
        <v>0</v>
      </c>
      <c r="I1522" s="1936">
        <f>'Part VIII-Threshold Criteria'!I428</f>
        <v>0</v>
      </c>
      <c r="J1522" s="1936">
        <f>'Part VIII-Threshold Criteria'!J428</f>
        <v>0</v>
      </c>
      <c r="K1522" s="1936">
        <f>'Part VIII-Threshold Criteria'!K428</f>
        <v>0</v>
      </c>
      <c r="L1522" s="1936">
        <f>'Part VIII-Threshold Criteria'!L428</f>
        <v>0</v>
      </c>
      <c r="M1522" s="1936">
        <f>'Part VIII-Threshold Criteria'!M428</f>
        <v>0</v>
      </c>
      <c r="N1522" s="1936">
        <f>'Part VIII-Threshold Criteria'!N428</f>
        <v>0</v>
      </c>
      <c r="O1522" s="1936">
        <f>'Part VIII-Threshold Criteria'!O428</f>
        <v>0</v>
      </c>
      <c r="P1522" s="1936">
        <f>'Part VIII-Threshold Criteria'!P428</f>
        <v>0</v>
      </c>
      <c r="Q1522" s="1936">
        <f>'Part VIII-Threshold Criteria'!Q428</f>
        <v>0</v>
      </c>
    </row>
    <row r="1523" spans="1:17">
      <c r="B1523" s="1937" t="s">
        <v>1880</v>
      </c>
      <c r="C1523" s="1938"/>
      <c r="D1523" s="1939"/>
      <c r="E1523" s="1939"/>
      <c r="F1523" s="1939"/>
      <c r="G1523" s="1939"/>
      <c r="H1523" s="1939"/>
      <c r="I1523" s="1939"/>
      <c r="J1523" s="1939"/>
      <c r="K1523" s="1939"/>
      <c r="L1523" s="1939"/>
      <c r="M1523" s="1939"/>
      <c r="N1523" s="1939"/>
      <c r="O1523" s="1939"/>
      <c r="P1523" s="1939"/>
      <c r="Q1523" s="1939"/>
    </row>
    <row r="1524" spans="1:17">
      <c r="A1524" s="1936">
        <f>'Part VIII-Threshold Criteria'!A430</f>
        <v>0</v>
      </c>
      <c r="B1524" s="1936">
        <f>'Part VIII-Threshold Criteria'!B430</f>
        <v>0</v>
      </c>
      <c r="C1524" s="1936">
        <f>'Part VIII-Threshold Criteria'!C430</f>
        <v>0</v>
      </c>
      <c r="D1524" s="1936">
        <f>'Part VIII-Threshold Criteria'!D430</f>
        <v>0</v>
      </c>
      <c r="E1524" s="1936">
        <f>'Part VIII-Threshold Criteria'!E430</f>
        <v>0</v>
      </c>
      <c r="F1524" s="1936">
        <f>'Part VIII-Threshold Criteria'!F430</f>
        <v>0</v>
      </c>
      <c r="G1524" s="1936">
        <f>'Part VIII-Threshold Criteria'!G430</f>
        <v>0</v>
      </c>
      <c r="H1524" s="1936">
        <f>'Part VIII-Threshold Criteria'!H430</f>
        <v>0</v>
      </c>
      <c r="I1524" s="1936">
        <f>'Part VIII-Threshold Criteria'!I430</f>
        <v>0</v>
      </c>
      <c r="J1524" s="1936">
        <f>'Part VIII-Threshold Criteria'!J430</f>
        <v>0</v>
      </c>
      <c r="K1524" s="1936">
        <f>'Part VIII-Threshold Criteria'!K430</f>
        <v>0</v>
      </c>
      <c r="L1524" s="1936">
        <f>'Part VIII-Threshold Criteria'!L430</f>
        <v>0</v>
      </c>
      <c r="M1524" s="1936">
        <f>'Part VIII-Threshold Criteria'!M430</f>
        <v>0</v>
      </c>
      <c r="N1524" s="1936">
        <f>'Part VIII-Threshold Criteria'!N430</f>
        <v>0</v>
      </c>
      <c r="O1524" s="1936">
        <f>'Part VIII-Threshold Criteria'!O430</f>
        <v>0</v>
      </c>
      <c r="P1524" s="1936">
        <f>'Part VIII-Threshold Criteria'!P430</f>
        <v>0</v>
      </c>
      <c r="Q1524" s="1936">
        <f>'Part VIII-Threshold Criteria'!Q430</f>
        <v>0</v>
      </c>
    </row>
    <row r="1525" spans="1:17">
      <c r="A1525" s="1836"/>
      <c r="B1525" s="1934"/>
      <c r="C1525" s="1939"/>
      <c r="D1525" s="1939"/>
      <c r="E1525" s="1939"/>
      <c r="F1525" s="1939"/>
      <c r="G1525" s="1939"/>
      <c r="H1525" s="1939"/>
      <c r="I1525" s="1939"/>
      <c r="J1525" s="1939"/>
      <c r="K1525" s="1939"/>
      <c r="L1525" s="1939"/>
      <c r="M1525" s="1939"/>
      <c r="Q1525" s="1836"/>
    </row>
    <row r="1526" spans="1:17">
      <c r="A1526" s="1819" t="s">
        <v>4160</v>
      </c>
      <c r="B1526" s="1818" t="s">
        <v>2834</v>
      </c>
      <c r="C1526" s="1818"/>
      <c r="D1526" s="1933"/>
      <c r="E1526" s="1939"/>
      <c r="F1526" s="1939"/>
      <c r="G1526" s="1939"/>
      <c r="H1526" s="1939"/>
      <c r="O1526" s="1935" t="s">
        <v>1881</v>
      </c>
      <c r="P1526" s="1844">
        <f>'Part VIII-Threshold Criteria'!P432</f>
        <v>0</v>
      </c>
      <c r="Q1526" s="1844">
        <f>'Part VIII-Threshold Criteria'!Q432</f>
        <v>0</v>
      </c>
    </row>
    <row r="1527" spans="1:17">
      <c r="B1527" s="1933" t="s">
        <v>3967</v>
      </c>
      <c r="C1527" s="1818"/>
      <c r="D1527" s="1933"/>
      <c r="E1527" s="1939"/>
      <c r="F1527" s="1939"/>
      <c r="G1527" s="1939"/>
      <c r="H1527" s="1939"/>
    </row>
    <row r="1528" spans="1:17" ht="12.75" customHeight="1">
      <c r="A1528" s="1973" t="s">
        <v>1999</v>
      </c>
      <c r="B1528" s="1936" t="s">
        <v>3970</v>
      </c>
      <c r="C1528" s="1936"/>
      <c r="D1528" s="1936"/>
      <c r="E1528" s="1936"/>
      <c r="F1528" s="1936"/>
      <c r="G1528" s="1936"/>
      <c r="H1528" s="1936"/>
      <c r="I1528" s="1936"/>
      <c r="J1528" s="1936"/>
      <c r="K1528" s="1936"/>
      <c r="L1528" s="1936"/>
      <c r="M1528" s="1936"/>
      <c r="N1528" s="1936"/>
      <c r="O1528" s="1987" t="s">
        <v>1999</v>
      </c>
      <c r="P1528" s="1988" t="str">
        <f>'Part VIII-Threshold Criteria'!P434</f>
        <v>Agree</v>
      </c>
      <c r="Q1528" s="1988">
        <f>'Part VIII-Threshold Criteria'!Q434</f>
        <v>0</v>
      </c>
    </row>
    <row r="1529" spans="1:17" ht="12.75" customHeight="1">
      <c r="A1529" s="1973" t="s">
        <v>2001</v>
      </c>
      <c r="B1529" s="1936" t="s">
        <v>3968</v>
      </c>
      <c r="C1529" s="1936"/>
      <c r="D1529" s="1936"/>
      <c r="E1529" s="1936"/>
      <c r="F1529" s="1936"/>
      <c r="G1529" s="1936"/>
      <c r="H1529" s="1936"/>
      <c r="I1529" s="1936"/>
      <c r="J1529" s="1936"/>
      <c r="K1529" s="1936"/>
      <c r="L1529" s="1936"/>
      <c r="M1529" s="1936"/>
      <c r="N1529" s="1936"/>
      <c r="O1529" s="1987" t="s">
        <v>2001</v>
      </c>
      <c r="P1529" s="1988" t="str">
        <f>'Part VIII-Threshold Criteria'!P435</f>
        <v>Agree</v>
      </c>
      <c r="Q1529" s="1988">
        <f>'Part VIII-Threshold Criteria'!Q435</f>
        <v>0</v>
      </c>
    </row>
    <row r="1530" spans="1:17" ht="12.75" customHeight="1">
      <c r="A1530" s="1953"/>
      <c r="B1530" s="1936" t="s">
        <v>3969</v>
      </c>
      <c r="C1530" s="1936"/>
      <c r="D1530" s="1936"/>
      <c r="E1530" s="1936"/>
      <c r="F1530" s="1936"/>
      <c r="G1530" s="1936"/>
      <c r="H1530" s="1936"/>
      <c r="I1530" s="1936"/>
      <c r="J1530" s="1936"/>
      <c r="K1530" s="1936"/>
      <c r="L1530" s="1936"/>
      <c r="M1530" s="1936"/>
      <c r="N1530" s="1936"/>
      <c r="O1530" s="1987" t="s">
        <v>1750</v>
      </c>
      <c r="P1530" s="1988" t="str">
        <f>'Part VIII-Threshold Criteria'!P436</f>
        <v>Agree</v>
      </c>
      <c r="Q1530" s="1988">
        <f>'Part VIII-Threshold Criteria'!Q436</f>
        <v>0</v>
      </c>
    </row>
    <row r="1531" spans="1:17">
      <c r="A1531" s="1953"/>
      <c r="B1531" s="1961" t="s">
        <v>3971</v>
      </c>
      <c r="C1531" s="1953"/>
      <c r="D1531" s="1936"/>
      <c r="E1531" s="1936"/>
      <c r="F1531" s="1936"/>
      <c r="G1531" s="1936"/>
      <c r="H1531" s="1936"/>
      <c r="I1531" s="1936"/>
      <c r="J1531" s="1936"/>
      <c r="K1531" s="1936"/>
      <c r="L1531" s="1936"/>
      <c r="M1531" s="1936"/>
      <c r="N1531" s="1936"/>
      <c r="O1531" s="1987" t="s">
        <v>1751</v>
      </c>
      <c r="P1531" s="1988" t="str">
        <f>'Part VIII-Threshold Criteria'!P437</f>
        <v>Agree</v>
      </c>
      <c r="Q1531" s="1988">
        <f>'Part VIII-Threshold Criteria'!Q437</f>
        <v>0</v>
      </c>
    </row>
    <row r="1532" spans="1:17" ht="12.75" customHeight="1">
      <c r="A1532" s="1953"/>
      <c r="B1532" s="1936" t="s">
        <v>3972</v>
      </c>
      <c r="C1532" s="1936"/>
      <c r="D1532" s="1936"/>
      <c r="E1532" s="1936"/>
      <c r="F1532" s="1936"/>
      <c r="G1532" s="1936"/>
      <c r="H1532" s="1936"/>
      <c r="I1532" s="1936"/>
      <c r="J1532" s="1936"/>
      <c r="K1532" s="1936"/>
      <c r="L1532" s="1936"/>
      <c r="M1532" s="1936"/>
      <c r="N1532" s="1936"/>
      <c r="O1532" s="1987" t="s">
        <v>1752</v>
      </c>
      <c r="P1532" s="1988" t="str">
        <f>'Part VIII-Threshold Criteria'!P438</f>
        <v>Agree</v>
      </c>
      <c r="Q1532" s="1988">
        <f>'Part VIII-Threshold Criteria'!Q438</f>
        <v>0</v>
      </c>
    </row>
    <row r="1533" spans="1:17" ht="12.75" customHeight="1">
      <c r="A1533" s="1953"/>
      <c r="B1533" s="1936" t="s">
        <v>3973</v>
      </c>
      <c r="C1533" s="1936"/>
      <c r="D1533" s="1936"/>
      <c r="E1533" s="1936"/>
      <c r="F1533" s="1936"/>
      <c r="G1533" s="1936"/>
      <c r="H1533" s="1936"/>
      <c r="I1533" s="1936"/>
      <c r="J1533" s="1936"/>
      <c r="K1533" s="1936"/>
      <c r="L1533" s="1936"/>
      <c r="M1533" s="1936"/>
      <c r="N1533" s="1936"/>
      <c r="O1533" s="1987" t="s">
        <v>2381</v>
      </c>
      <c r="P1533" s="1988" t="str">
        <f>'Part VIII-Threshold Criteria'!P439</f>
        <v>Agree</v>
      </c>
      <c r="Q1533" s="1988">
        <f>'Part VIII-Threshold Criteria'!Q439</f>
        <v>0</v>
      </c>
    </row>
    <row r="1534" spans="1:17" ht="12.75" customHeight="1">
      <c r="A1534" s="1973" t="s">
        <v>757</v>
      </c>
      <c r="B1534" s="1936" t="s">
        <v>3974</v>
      </c>
      <c r="C1534" s="1936"/>
      <c r="D1534" s="1936"/>
      <c r="E1534" s="1936"/>
      <c r="F1534" s="1936"/>
      <c r="G1534" s="1936"/>
      <c r="H1534" s="1936"/>
      <c r="I1534" s="1936"/>
      <c r="J1534" s="1936"/>
      <c r="K1534" s="1936"/>
      <c r="L1534" s="1936"/>
      <c r="M1534" s="1936"/>
      <c r="N1534" s="1936"/>
      <c r="O1534" s="1987" t="s">
        <v>757</v>
      </c>
      <c r="P1534" s="1988" t="str">
        <f>'Part VIII-Threshold Criteria'!P440</f>
        <v>Agree</v>
      </c>
      <c r="Q1534" s="1988">
        <f>'Part VIII-Threshold Criteria'!Q440</f>
        <v>0</v>
      </c>
    </row>
    <row r="1535" spans="1:17" ht="12.75" customHeight="1">
      <c r="A1535" s="1973" t="s">
        <v>2131</v>
      </c>
      <c r="B1535" s="1936" t="s">
        <v>3975</v>
      </c>
      <c r="C1535" s="1936"/>
      <c r="D1535" s="1936"/>
      <c r="E1535" s="1936"/>
      <c r="F1535" s="1936"/>
      <c r="G1535" s="1936"/>
      <c r="H1535" s="1936"/>
      <c r="I1535" s="1936"/>
      <c r="J1535" s="1936"/>
      <c r="K1535" s="1936"/>
      <c r="L1535" s="1936"/>
      <c r="M1535" s="1936"/>
      <c r="N1535" s="1936"/>
      <c r="O1535" s="1987" t="s">
        <v>2131</v>
      </c>
      <c r="P1535" s="1988" t="str">
        <f>'Part VIII-Threshold Criteria'!P441</f>
        <v>Agree</v>
      </c>
      <c r="Q1535" s="1988">
        <f>'Part VIII-Threshold Criteria'!Q441</f>
        <v>0</v>
      </c>
    </row>
    <row r="1536" spans="1:17" ht="12.75" customHeight="1">
      <c r="A1536" s="1973" t="s">
        <v>1748</v>
      </c>
      <c r="B1536" s="1936" t="s">
        <v>3976</v>
      </c>
      <c r="C1536" s="1936"/>
      <c r="D1536" s="1936"/>
      <c r="E1536" s="1936"/>
      <c r="F1536" s="1936"/>
      <c r="G1536" s="1936"/>
      <c r="H1536" s="1936"/>
      <c r="I1536" s="1936"/>
      <c r="J1536" s="1936"/>
      <c r="K1536" s="1936"/>
      <c r="L1536" s="1936"/>
      <c r="M1536" s="1936"/>
      <c r="N1536" s="1936"/>
      <c r="O1536" s="1987" t="s">
        <v>1748</v>
      </c>
      <c r="P1536" s="1988" t="str">
        <f>'Part VIII-Threshold Criteria'!P442</f>
        <v>Agree</v>
      </c>
      <c r="Q1536" s="1988">
        <f>'Part VIII-Threshold Criteria'!Q442</f>
        <v>0</v>
      </c>
    </row>
    <row r="1537" spans="1:17" ht="12.75" customHeight="1">
      <c r="A1537" s="1973" t="s">
        <v>1749</v>
      </c>
      <c r="B1537" s="1936" t="s">
        <v>3499</v>
      </c>
      <c r="C1537" s="1936"/>
      <c r="D1537" s="1936"/>
      <c r="E1537" s="1936"/>
      <c r="F1537" s="1936"/>
      <c r="G1537" s="1936"/>
      <c r="H1537" s="1936"/>
      <c r="I1537" s="1936"/>
      <c r="J1537" s="1936"/>
      <c r="K1537" s="1936"/>
      <c r="L1537" s="1936"/>
      <c r="M1537" s="1936"/>
      <c r="N1537" s="1936"/>
      <c r="O1537" s="1987" t="s">
        <v>1749</v>
      </c>
      <c r="P1537" s="1988" t="str">
        <f>'Part VIII-Threshold Criteria'!P443</f>
        <v>Agree</v>
      </c>
      <c r="Q1537" s="1988">
        <f>'Part VIII-Threshold Criteria'!Q443</f>
        <v>0</v>
      </c>
    </row>
    <row r="1538" spans="1:17">
      <c r="B1538" s="1873" t="s">
        <v>3779</v>
      </c>
      <c r="D1538" s="1873"/>
      <c r="E1538" s="1873"/>
      <c r="F1538" s="1873"/>
      <c r="G1538" s="1873"/>
      <c r="H1538" s="1872"/>
      <c r="I1538" s="1934"/>
      <c r="J1538" s="1934"/>
      <c r="K1538" s="1934"/>
      <c r="L1538" s="1836"/>
      <c r="M1538" s="1836"/>
      <c r="N1538" s="1836"/>
      <c r="O1538" s="1836"/>
      <c r="P1538" s="1836"/>
      <c r="Q1538" s="1836"/>
    </row>
    <row r="1539" spans="1:17" ht="409.5">
      <c r="A1539" s="1936" t="str">
        <f>'Part VIII-Threshold Criteria'!A445</f>
        <v>Tindall Fields III meets Threshold approval because the Partnership, In-Fill Housing II, Inc., and MHA (our management company) agree to prepare and submit an AFFH Marketing Plan for Tindall Fields III in full compliance with all Fair Housing requirements. In-Fill Housing and MHA have a long history of fully supporting all Fair Housing and DCA requirements.  We further agree to comply with Items A through F above. Although not required, for supporting documentation we offer our signed MOAs with the River Edge Behavioral Health Center (the community mental health services agency for middle Georgia) and Disability Connections, Inc. (the Independent Living Center for middle Georgia.)  Please see Tab 41-02-02 and 41-02-03.  Furthermore, MHA has secured all HUD approvals necessary to implement the admissions preference for the Settlement Agreement population; please see Tab 41-02 for this documentation.</v>
      </c>
      <c r="B1539" s="1936">
        <f>'Part VIII-Threshold Criteria'!B445</f>
        <v>0</v>
      </c>
      <c r="C1539" s="1936">
        <f>'Part VIII-Threshold Criteria'!C445</f>
        <v>0</v>
      </c>
      <c r="D1539" s="1936">
        <f>'Part VIII-Threshold Criteria'!D445</f>
        <v>0</v>
      </c>
      <c r="E1539" s="1936">
        <f>'Part VIII-Threshold Criteria'!E445</f>
        <v>0</v>
      </c>
      <c r="F1539" s="1936">
        <f>'Part VIII-Threshold Criteria'!F445</f>
        <v>0</v>
      </c>
      <c r="G1539" s="1936">
        <f>'Part VIII-Threshold Criteria'!G445</f>
        <v>0</v>
      </c>
      <c r="H1539" s="1936">
        <f>'Part VIII-Threshold Criteria'!H445</f>
        <v>0</v>
      </c>
      <c r="I1539" s="1936">
        <f>'Part VIII-Threshold Criteria'!I445</f>
        <v>0</v>
      </c>
      <c r="J1539" s="1936">
        <f>'Part VIII-Threshold Criteria'!J445</f>
        <v>0</v>
      </c>
      <c r="K1539" s="1936">
        <f>'Part VIII-Threshold Criteria'!K445</f>
        <v>0</v>
      </c>
      <c r="L1539" s="1936">
        <f>'Part VIII-Threshold Criteria'!L445</f>
        <v>0</v>
      </c>
      <c r="M1539" s="1936">
        <f>'Part VIII-Threshold Criteria'!M445</f>
        <v>0</v>
      </c>
      <c r="N1539" s="1936">
        <f>'Part VIII-Threshold Criteria'!N445</f>
        <v>0</v>
      </c>
      <c r="O1539" s="1936">
        <f>'Part VIII-Threshold Criteria'!O445</f>
        <v>0</v>
      </c>
      <c r="P1539" s="1936">
        <f>'Part VIII-Threshold Criteria'!P445</f>
        <v>0</v>
      </c>
      <c r="Q1539" s="1936">
        <f>'Part VIII-Threshold Criteria'!Q445</f>
        <v>0</v>
      </c>
    </row>
    <row r="1540" spans="1:17">
      <c r="B1540" s="1937" t="s">
        <v>1880</v>
      </c>
      <c r="C1540" s="1938"/>
      <c r="D1540" s="1939"/>
      <c r="E1540" s="1939"/>
      <c r="F1540" s="1939"/>
      <c r="G1540" s="1939"/>
      <c r="H1540" s="1939"/>
      <c r="I1540" s="1939"/>
      <c r="J1540" s="1939"/>
      <c r="K1540" s="1939"/>
      <c r="L1540" s="1939"/>
      <c r="M1540" s="1939"/>
      <c r="N1540" s="1939"/>
      <c r="O1540" s="1939"/>
      <c r="P1540" s="1939"/>
      <c r="Q1540" s="1939"/>
    </row>
    <row r="1541" spans="1:17">
      <c r="A1541" s="1936">
        <f>'Part VIII-Threshold Criteria'!A447</f>
        <v>0</v>
      </c>
      <c r="B1541" s="1936">
        <f>'Part VIII-Threshold Criteria'!B447</f>
        <v>0</v>
      </c>
      <c r="C1541" s="1936">
        <f>'Part VIII-Threshold Criteria'!C447</f>
        <v>0</v>
      </c>
      <c r="D1541" s="1936">
        <f>'Part VIII-Threshold Criteria'!D447</f>
        <v>0</v>
      </c>
      <c r="E1541" s="1936">
        <f>'Part VIII-Threshold Criteria'!E447</f>
        <v>0</v>
      </c>
      <c r="F1541" s="1936">
        <f>'Part VIII-Threshold Criteria'!F447</f>
        <v>0</v>
      </c>
      <c r="G1541" s="1936">
        <f>'Part VIII-Threshold Criteria'!G447</f>
        <v>0</v>
      </c>
      <c r="H1541" s="1936">
        <f>'Part VIII-Threshold Criteria'!H447</f>
        <v>0</v>
      </c>
      <c r="I1541" s="1936">
        <f>'Part VIII-Threshold Criteria'!I447</f>
        <v>0</v>
      </c>
      <c r="J1541" s="1936">
        <f>'Part VIII-Threshold Criteria'!J447</f>
        <v>0</v>
      </c>
      <c r="K1541" s="1936">
        <f>'Part VIII-Threshold Criteria'!K447</f>
        <v>0</v>
      </c>
      <c r="L1541" s="1936">
        <f>'Part VIII-Threshold Criteria'!L447</f>
        <v>0</v>
      </c>
      <c r="M1541" s="1936">
        <f>'Part VIII-Threshold Criteria'!M447</f>
        <v>0</v>
      </c>
      <c r="N1541" s="1936">
        <f>'Part VIII-Threshold Criteria'!N447</f>
        <v>0</v>
      </c>
      <c r="O1541" s="1936">
        <f>'Part VIII-Threshold Criteria'!O447</f>
        <v>0</v>
      </c>
      <c r="P1541" s="1936">
        <f>'Part VIII-Threshold Criteria'!P447</f>
        <v>0</v>
      </c>
      <c r="Q1541" s="1936">
        <f>'Part VIII-Threshold Criteria'!Q447</f>
        <v>0</v>
      </c>
    </row>
    <row r="1542" spans="1:17">
      <c r="A1542" s="1836"/>
      <c r="B1542" s="1934"/>
      <c r="C1542" s="1939"/>
      <c r="D1542" s="1939"/>
      <c r="E1542" s="1939"/>
      <c r="F1542" s="1939"/>
      <c r="G1542" s="1939"/>
      <c r="H1542" s="1939"/>
      <c r="I1542" s="1939"/>
      <c r="J1542" s="1939"/>
      <c r="K1542" s="1939"/>
      <c r="L1542" s="1939"/>
      <c r="M1542" s="1939"/>
      <c r="Q1542" s="1836"/>
    </row>
    <row r="1543" spans="1:17">
      <c r="A1543" s="1819" t="s">
        <v>4161</v>
      </c>
      <c r="B1543" s="1818" t="s">
        <v>2687</v>
      </c>
      <c r="C1543" s="1818"/>
      <c r="D1543" s="1933"/>
      <c r="E1543" s="1939"/>
      <c r="F1543" s="1939"/>
      <c r="G1543" s="1939"/>
      <c r="H1543" s="1939"/>
      <c r="I1543" s="1939"/>
      <c r="J1543" s="1939"/>
      <c r="K1543" s="1939"/>
      <c r="L1543" s="1939"/>
      <c r="M1543" s="1939"/>
      <c r="O1543" s="1935" t="s">
        <v>1881</v>
      </c>
      <c r="P1543" s="1844">
        <f>'Part VIII-Threshold Criteria'!P449</f>
        <v>0</v>
      </c>
      <c r="Q1543" s="1844">
        <f>'Part VIII-Threshold Criteria'!Q449</f>
        <v>0</v>
      </c>
    </row>
    <row r="1544" spans="1:17">
      <c r="A1544" s="1819"/>
      <c r="B1544" s="1873" t="s">
        <v>3779</v>
      </c>
      <c r="D1544" s="1873"/>
      <c r="E1544" s="1873"/>
      <c r="F1544" s="1873"/>
      <c r="G1544" s="1873"/>
      <c r="H1544" s="1872"/>
      <c r="I1544" s="1934"/>
      <c r="J1544" s="1934"/>
      <c r="K1544" s="1934"/>
      <c r="L1544" s="1836"/>
      <c r="M1544" s="1836"/>
      <c r="N1544" s="1836"/>
      <c r="O1544" s="1836"/>
      <c r="P1544" s="1836"/>
      <c r="Q1544" s="1836"/>
    </row>
    <row r="1545" spans="1:17" ht="409.5">
      <c r="A1545" s="1936" t="str">
        <f>'Part VIII-Threshold Criteria'!A451</f>
        <v xml:space="preserve">Tindall Fields III meets Threshold approval for the optimal use of resources for two reasons.  First, we have a written commitment from MHA, originally dating from 2015 and confirmed for this application, that re-caps MHA’s continued payment for the full cost of relocation, asbestos remediation, demolition and rough site work.  In 2015, MHA pledged to give our owner/developer team a “green field” for the development of Tindall Seniors Towers (DCA 15-037), Tindall Fields I DCA 16-043), Tindall Fields II (DCA 17-028) and Tindall Fields III (this fourth and final phase). The estimated cost of this MHA commitment exceeds $2.4 million, thereby reducing the amount of the development budget by $600,000 per phase, on average. Please see Tab 44-01 for this documentation.  Second, our request to DCA to build only one community center for Tindall Fields Phases 2, 3 and 4, along with DCA’s approval, will save hundreds of thousands of dollars by eliminating the needless redundancy of two additional community centers. Please see Tab 13-02 for that documentation; this is an estimated savings in development costs of approximately $500,000 for this Phase only.  The combined savings from these two sources for this Phase only exceeds $1 million. </v>
      </c>
      <c r="B1545" s="1936">
        <f>'Part VIII-Threshold Criteria'!B451</f>
        <v>0</v>
      </c>
      <c r="C1545" s="1936">
        <f>'Part VIII-Threshold Criteria'!C451</f>
        <v>0</v>
      </c>
      <c r="D1545" s="1936">
        <f>'Part VIII-Threshold Criteria'!D451</f>
        <v>0</v>
      </c>
      <c r="E1545" s="1936">
        <f>'Part VIII-Threshold Criteria'!E451</f>
        <v>0</v>
      </c>
      <c r="F1545" s="1936">
        <f>'Part VIII-Threshold Criteria'!F451</f>
        <v>0</v>
      </c>
      <c r="G1545" s="1936">
        <f>'Part VIII-Threshold Criteria'!G451</f>
        <v>0</v>
      </c>
      <c r="H1545" s="1936">
        <f>'Part VIII-Threshold Criteria'!H451</f>
        <v>0</v>
      </c>
      <c r="I1545" s="1936">
        <f>'Part VIII-Threshold Criteria'!I451</f>
        <v>0</v>
      </c>
      <c r="J1545" s="1936">
        <f>'Part VIII-Threshold Criteria'!J451</f>
        <v>0</v>
      </c>
      <c r="K1545" s="1936">
        <f>'Part VIII-Threshold Criteria'!K451</f>
        <v>0</v>
      </c>
      <c r="L1545" s="1936">
        <f>'Part VIII-Threshold Criteria'!L451</f>
        <v>0</v>
      </c>
      <c r="M1545" s="1936">
        <f>'Part VIII-Threshold Criteria'!M451</f>
        <v>0</v>
      </c>
      <c r="N1545" s="1936">
        <f>'Part VIII-Threshold Criteria'!N451</f>
        <v>0</v>
      </c>
      <c r="O1545" s="1936">
        <f>'Part VIII-Threshold Criteria'!O451</f>
        <v>0</v>
      </c>
      <c r="P1545" s="1936">
        <f>'Part VIII-Threshold Criteria'!P451</f>
        <v>0</v>
      </c>
      <c r="Q1545" s="1936">
        <f>'Part VIII-Threshold Criteria'!Q451</f>
        <v>0</v>
      </c>
    </row>
    <row r="1546" spans="1:17">
      <c r="B1546" s="1937" t="s">
        <v>1880</v>
      </c>
      <c r="C1546" s="1938"/>
      <c r="D1546" s="1939"/>
      <c r="E1546" s="1939"/>
      <c r="F1546" s="1939"/>
      <c r="G1546" s="1939"/>
      <c r="H1546" s="1939"/>
      <c r="I1546" s="1939"/>
      <c r="J1546" s="1939"/>
      <c r="K1546" s="1939"/>
      <c r="L1546" s="1939"/>
      <c r="M1546" s="1939"/>
      <c r="N1546" s="1939"/>
      <c r="O1546" s="1939"/>
      <c r="P1546" s="1939"/>
      <c r="Q1546" s="1939"/>
    </row>
    <row r="1547" spans="1:17">
      <c r="A1547" s="1936">
        <f>'Part VIII-Threshold Criteria'!A453</f>
        <v>0</v>
      </c>
      <c r="B1547" s="1936">
        <f>'Part VIII-Threshold Criteria'!B453</f>
        <v>0</v>
      </c>
      <c r="C1547" s="1936">
        <f>'Part VIII-Threshold Criteria'!C453</f>
        <v>0</v>
      </c>
      <c r="D1547" s="1936">
        <f>'Part VIII-Threshold Criteria'!D453</f>
        <v>0</v>
      </c>
      <c r="E1547" s="1936">
        <f>'Part VIII-Threshold Criteria'!E453</f>
        <v>0</v>
      </c>
      <c r="F1547" s="1936">
        <f>'Part VIII-Threshold Criteria'!F453</f>
        <v>0</v>
      </c>
      <c r="G1547" s="1936">
        <f>'Part VIII-Threshold Criteria'!G453</f>
        <v>0</v>
      </c>
      <c r="H1547" s="1936">
        <f>'Part VIII-Threshold Criteria'!H453</f>
        <v>0</v>
      </c>
      <c r="I1547" s="1936">
        <f>'Part VIII-Threshold Criteria'!I453</f>
        <v>0</v>
      </c>
      <c r="J1547" s="1936">
        <f>'Part VIII-Threshold Criteria'!J453</f>
        <v>0</v>
      </c>
      <c r="K1547" s="1936">
        <f>'Part VIII-Threshold Criteria'!K453</f>
        <v>0</v>
      </c>
      <c r="L1547" s="1936">
        <f>'Part VIII-Threshold Criteria'!L453</f>
        <v>0</v>
      </c>
      <c r="M1547" s="1936">
        <f>'Part VIII-Threshold Criteria'!M453</f>
        <v>0</v>
      </c>
      <c r="N1547" s="1936">
        <f>'Part VIII-Threshold Criteria'!N453</f>
        <v>0</v>
      </c>
      <c r="O1547" s="1936">
        <f>'Part VIII-Threshold Criteria'!O453</f>
        <v>0</v>
      </c>
      <c r="P1547" s="1936">
        <f>'Part VIII-Threshold Criteria'!P453</f>
        <v>0</v>
      </c>
      <c r="Q1547" s="1936">
        <f>'Part VIII-Threshold Criteria'!Q453</f>
        <v>0</v>
      </c>
    </row>
    <row r="1555" spans="1:26">
      <c r="A1555" s="1818" t="str">
        <f>CONCATENATE("PART NINE - SCORING CRITERIA","  -  ",'Part I-Project Information'!$O$6," ",'Part I-Project Information'!$F$34,", ",'Part I-Project Information'!F1592,", ",'Part I-Project Information'!J1593," County")</f>
        <v>PART NINE - SCORING CRITERIA  -  2018-013 Tindall Fields III, ,  County</v>
      </c>
      <c r="B1555" s="1818"/>
      <c r="C1555" s="1818"/>
      <c r="D1555" s="1818"/>
      <c r="E1555" s="1818"/>
      <c r="F1555" s="1818"/>
      <c r="G1555" s="1818"/>
      <c r="H1555" s="1818"/>
      <c r="I1555" s="1818"/>
      <c r="J1555" s="1818"/>
      <c r="K1555" s="1818"/>
      <c r="L1555" s="1818"/>
      <c r="M1555" s="1818"/>
      <c r="N1555" s="1818"/>
      <c r="O1555" s="1818"/>
      <c r="P1555" s="1818"/>
    </row>
    <row r="1556" spans="1:26">
      <c r="A1556" s="478"/>
      <c r="B1556" s="478"/>
      <c r="C1556" s="2017"/>
      <c r="D1556" s="478"/>
      <c r="E1556" s="478"/>
      <c r="F1556" s="478"/>
      <c r="G1556" s="478"/>
      <c r="H1556" s="478"/>
      <c r="I1556" s="478"/>
      <c r="J1556" s="478"/>
      <c r="K1556" s="478"/>
      <c r="L1556" s="478"/>
      <c r="M1556" s="1934"/>
      <c r="N1556" s="1828"/>
      <c r="O1556" s="1837"/>
      <c r="P1556" s="1837"/>
    </row>
    <row r="1557" spans="1:26" ht="12.75" customHeight="1">
      <c r="A1557" s="1861" t="s">
        <v>4802</v>
      </c>
      <c r="B1557" s="1861"/>
      <c r="C1557" s="1861"/>
      <c r="D1557" s="1861"/>
      <c r="E1557" s="1861"/>
      <c r="F1557" s="1861"/>
      <c r="G1557" s="1861"/>
      <c r="H1557" s="1861"/>
      <c r="I1557" s="1861"/>
      <c r="J1557" s="1861"/>
      <c r="K1557" s="1861"/>
      <c r="L1557" s="1861"/>
      <c r="M1557" s="1842" t="s">
        <v>2235</v>
      </c>
      <c r="N1557" s="1828"/>
      <c r="O1557" s="1837" t="s">
        <v>2234</v>
      </c>
      <c r="P1557" s="1837" t="s">
        <v>258</v>
      </c>
      <c r="Q1557" s="1629"/>
      <c r="R1557" s="1629"/>
      <c r="S1557" s="1629"/>
      <c r="T1557" s="1629"/>
      <c r="U1557" s="1629"/>
      <c r="V1557" s="1629"/>
      <c r="W1557" s="1629"/>
      <c r="X1557" s="1629"/>
      <c r="Y1557" s="1629"/>
      <c r="Z1557" s="1629"/>
    </row>
    <row r="1558" spans="1:26" ht="14.25">
      <c r="A1558" s="1861"/>
      <c r="B1558" s="1861"/>
      <c r="C1558" s="1861"/>
      <c r="D1558" s="1861"/>
      <c r="E1558" s="1861"/>
      <c r="F1558" s="1861"/>
      <c r="G1558" s="1861"/>
      <c r="H1558" s="1861"/>
      <c r="I1558" s="1861"/>
      <c r="J1558" s="1861"/>
      <c r="K1558" s="1861"/>
      <c r="L1558" s="1861"/>
      <c r="M1558" s="1842" t="s">
        <v>94</v>
      </c>
      <c r="N1558" s="1818"/>
      <c r="O1558" s="1837" t="s">
        <v>2235</v>
      </c>
      <c r="P1558" s="1837" t="s">
        <v>2235</v>
      </c>
      <c r="Q1558" s="2018"/>
      <c r="R1558" s="1629"/>
      <c r="S1558" s="1629"/>
      <c r="T1558" s="1629"/>
      <c r="U1558" s="1629"/>
      <c r="V1558" s="1629"/>
      <c r="W1558" s="2018"/>
      <c r="X1558" s="2018"/>
      <c r="Y1558" s="2018"/>
      <c r="Z1558" s="2018"/>
    </row>
    <row r="1559" spans="1:26" ht="14.25">
      <c r="A1559" s="1629"/>
      <c r="B1559" s="1629"/>
      <c r="C1559" s="1629"/>
      <c r="D1559" s="1629"/>
      <c r="E1559" s="1629"/>
      <c r="F1559" s="1629"/>
      <c r="G1559" s="1629"/>
      <c r="H1559" s="1629"/>
      <c r="I1559" s="1629"/>
      <c r="J1559" s="1629"/>
      <c r="K1559" s="1629"/>
      <c r="L1559" s="2018"/>
      <c r="M1559" s="2019"/>
      <c r="N1559" s="1818"/>
      <c r="O1559" s="1837"/>
      <c r="P1559" s="1826"/>
      <c r="Q1559" s="2018"/>
      <c r="R1559" s="2018"/>
      <c r="S1559" s="2018"/>
      <c r="T1559" s="2018"/>
      <c r="U1559" s="2018"/>
      <c r="V1559" s="2018"/>
      <c r="W1559" s="2018"/>
      <c r="X1559" s="2018"/>
      <c r="Y1559" s="2018"/>
      <c r="Z1559" s="2018"/>
    </row>
    <row r="1560" spans="1:26" ht="15.75">
      <c r="A1560" s="1629"/>
      <c r="B1560" s="1629"/>
      <c r="C1560" s="1629"/>
      <c r="D1560" s="1629"/>
      <c r="E1560" s="1629"/>
      <c r="F1560" s="1629"/>
      <c r="G1560" s="1629"/>
      <c r="H1560" s="1629"/>
      <c r="I1560" s="1629"/>
      <c r="J1560" s="1629"/>
      <c r="K1560" s="2018"/>
      <c r="L1560" s="2020" t="s">
        <v>1238</v>
      </c>
      <c r="M1560" s="2021">
        <f>M1995</f>
        <v>95</v>
      </c>
      <c r="N1560" s="1897"/>
      <c r="O1560" s="2021">
        <f>O1995</f>
        <v>62</v>
      </c>
      <c r="P1560" s="2021">
        <f>P1995</f>
        <v>20</v>
      </c>
      <c r="Q1560" s="2018"/>
      <c r="R1560" s="2018"/>
      <c r="S1560" s="2018"/>
      <c r="T1560" s="2018"/>
      <c r="U1560" s="2018"/>
      <c r="V1560" s="2018"/>
      <c r="W1560" s="2018"/>
      <c r="X1560" s="2018"/>
      <c r="Y1560" s="2018"/>
      <c r="Z1560" s="2018"/>
    </row>
    <row r="1561" spans="1:26" ht="15">
      <c r="A1561" s="1629"/>
      <c r="B1561" s="1975"/>
      <c r="C1561" s="478"/>
      <c r="D1561" s="1830"/>
      <c r="E1561" s="1830"/>
      <c r="F1561" s="1830"/>
      <c r="G1561" s="1830"/>
      <c r="H1561" s="1830"/>
      <c r="I1561" s="1830"/>
      <c r="J1561" s="1830"/>
      <c r="K1561" s="1830"/>
      <c r="L1561" s="1629"/>
      <c r="M1561" s="1828"/>
      <c r="N1561" s="1824"/>
      <c r="O1561" s="2021"/>
      <c r="P1561" s="1837"/>
      <c r="Q1561" s="2022"/>
      <c r="R1561" s="1629"/>
      <c r="S1561" s="1629"/>
      <c r="T1561" s="2022"/>
      <c r="U1561" s="2022"/>
      <c r="V1561" s="2022"/>
      <c r="W1561" s="2022"/>
      <c r="X1561" s="2022"/>
      <c r="Y1561" s="2022"/>
      <c r="Z1561" s="2022"/>
    </row>
    <row r="1562" spans="1:26">
      <c r="A1562" s="2023" t="s">
        <v>622</v>
      </c>
      <c r="B1562" s="2024" t="s">
        <v>2802</v>
      </c>
      <c r="C1562" s="1818"/>
      <c r="D1562" s="1818"/>
      <c r="E1562" s="1818"/>
      <c r="F1562" s="1934"/>
      <c r="G1562" s="1629"/>
      <c r="H1562" s="1900" t="s">
        <v>4803</v>
      </c>
      <c r="I1562" s="1629"/>
      <c r="J1562" s="1629"/>
      <c r="K1562" s="1629"/>
      <c r="L1562" s="1629"/>
      <c r="M1562" s="1837">
        <v>10</v>
      </c>
      <c r="N1562" s="2025"/>
      <c r="O1562" s="2021">
        <f>'Part IX A-Scoring Criteria'!O8</f>
        <v>10</v>
      </c>
      <c r="P1562" s="2021">
        <f>'Part IX A-Scoring Criteria'!P8</f>
        <v>10</v>
      </c>
      <c r="Q1562" s="1837" t="s">
        <v>443</v>
      </c>
      <c r="R1562" s="1629"/>
      <c r="S1562" s="1629"/>
      <c r="T1562" s="1629"/>
      <c r="U1562" s="1629"/>
      <c r="V1562" s="1629"/>
      <c r="W1562" s="1629"/>
      <c r="X1562" s="1629"/>
      <c r="Y1562" s="1629"/>
      <c r="Z1562" s="1629"/>
    </row>
    <row r="1563" spans="1:26" ht="15">
      <c r="A1563" s="1629"/>
      <c r="B1563" s="1975"/>
      <c r="C1563" s="478"/>
      <c r="D1563" s="1830"/>
      <c r="E1563" s="1830"/>
      <c r="F1563" s="1830"/>
      <c r="G1563" s="1830"/>
      <c r="H1563" s="1830"/>
      <c r="I1563" s="1830"/>
      <c r="J1563" s="1830"/>
      <c r="K1563" s="1830"/>
      <c r="L1563" s="1629"/>
      <c r="M1563" s="1828"/>
      <c r="N1563" s="1824"/>
      <c r="O1563" s="2021"/>
      <c r="P1563" s="1837"/>
      <c r="Q1563" s="2022"/>
      <c r="R1563" s="1629"/>
      <c r="S1563" s="1629"/>
      <c r="T1563" s="2022"/>
      <c r="U1563" s="2022"/>
      <c r="V1563" s="2022"/>
      <c r="W1563" s="2022"/>
      <c r="X1563" s="2022"/>
      <c r="Y1563" s="2022"/>
      <c r="Z1563" s="2022"/>
    </row>
    <row r="1564" spans="1:26">
      <c r="A1564" s="1855" t="s">
        <v>1999</v>
      </c>
      <c r="B1564" s="1844" t="s">
        <v>1882</v>
      </c>
      <c r="C1564" s="1629"/>
      <c r="D1564" s="1830"/>
      <c r="E1564" s="1830"/>
      <c r="F1564" s="1934"/>
      <c r="G1564" s="1629"/>
      <c r="H1564" s="1631" t="s">
        <v>3675</v>
      </c>
      <c r="I1564" s="1629"/>
      <c r="J1564" s="1629"/>
      <c r="K1564" s="1629"/>
      <c r="L1564" s="1629"/>
      <c r="M1564" s="1828"/>
      <c r="N1564" s="1977" t="s">
        <v>1999</v>
      </c>
      <c r="O1564" s="1840">
        <f>'Part IX A-Scoring Criteria'!O10</f>
        <v>0</v>
      </c>
      <c r="P1564" s="1840">
        <f>F1569</f>
        <v>0</v>
      </c>
      <c r="Q1564" s="1629"/>
      <c r="R1564" s="1629"/>
      <c r="S1564" s="1629"/>
      <c r="T1564" s="1629"/>
      <c r="U1564" s="1629"/>
      <c r="V1564" s="1629"/>
      <c r="W1564" s="1629"/>
      <c r="X1564" s="1629"/>
      <c r="Y1564" s="1629"/>
      <c r="Z1564" s="1629"/>
    </row>
    <row r="1565" spans="1:26" ht="15">
      <c r="A1565" s="1855"/>
      <c r="B1565" s="2022"/>
      <c r="C1565" s="1830" t="s">
        <v>2129</v>
      </c>
      <c r="D1565" s="1830"/>
      <c r="E1565" s="1830"/>
      <c r="F1565" s="1934"/>
      <c r="G1565" s="2022"/>
      <c r="H1565" s="1631" t="s">
        <v>2783</v>
      </c>
      <c r="I1565" s="2022"/>
      <c r="J1565" s="1900"/>
      <c r="K1565" s="2022"/>
      <c r="L1565" s="2022"/>
      <c r="M1565" s="1828">
        <v>1</v>
      </c>
      <c r="N1565" s="1977"/>
      <c r="O1565" s="1840">
        <f>'Part IX A-Scoring Criteria'!O11</f>
        <v>0</v>
      </c>
      <c r="P1565" s="1840">
        <f>J1569</f>
        <v>0</v>
      </c>
      <c r="Q1565" s="2022"/>
      <c r="R1565" s="2022"/>
      <c r="S1565" s="2022"/>
      <c r="T1565" s="2022"/>
      <c r="U1565" s="2022"/>
      <c r="V1565" s="2022"/>
      <c r="W1565" s="2022"/>
      <c r="X1565" s="2022"/>
      <c r="Y1565" s="2022"/>
      <c r="Z1565" s="2022"/>
    </row>
    <row r="1566" spans="1:26">
      <c r="A1566" s="1855" t="s">
        <v>2001</v>
      </c>
      <c r="B1566" s="1844" t="s">
        <v>734</v>
      </c>
      <c r="C1566" s="1629"/>
      <c r="D1566" s="1830"/>
      <c r="E1566" s="1830"/>
      <c r="F1566" s="1934"/>
      <c r="G1566" s="1629"/>
      <c r="H1566" s="1631" t="s">
        <v>4804</v>
      </c>
      <c r="I1566" s="1629"/>
      <c r="J1566" s="1900"/>
      <c r="K1566" s="1629"/>
      <c r="L1566" s="1629"/>
      <c r="M1566" s="1828"/>
      <c r="N1566" s="1977" t="s">
        <v>2001</v>
      </c>
      <c r="O1566" s="1840">
        <f>'Part IX A-Scoring Criteria'!O12</f>
        <v>0</v>
      </c>
      <c r="P1566" s="1840">
        <f>O1569</f>
        <v>0</v>
      </c>
      <c r="Q1566" s="1629"/>
      <c r="R1566" s="1629"/>
      <c r="S1566" s="1629"/>
      <c r="T1566" s="1629"/>
      <c r="U1566" s="1629"/>
      <c r="V1566" s="1629"/>
      <c r="W1566" s="1629"/>
      <c r="X1566" s="1629"/>
      <c r="Y1566" s="1629"/>
      <c r="Z1566" s="1629"/>
    </row>
    <row r="1567" spans="1:26" ht="20.25">
      <c r="A1567" s="1900"/>
      <c r="B1567" s="1629"/>
      <c r="C1567" s="1830" t="s">
        <v>4192</v>
      </c>
      <c r="D1567" s="478"/>
      <c r="E1567" s="478"/>
      <c r="F1567" s="478"/>
      <c r="G1567" s="1900"/>
      <c r="H1567" s="1631" t="s">
        <v>4804</v>
      </c>
      <c r="I1567" s="1900"/>
      <c r="J1567" s="1900"/>
      <c r="K1567" s="1900"/>
      <c r="L1567" s="1900"/>
      <c r="M1567" s="1900"/>
      <c r="N1567" s="1900"/>
      <c r="O1567" s="1840">
        <f>'Part IX A-Scoring Criteria'!O13</f>
        <v>0</v>
      </c>
      <c r="P1567" s="1840">
        <f>+O1583</f>
        <v>0</v>
      </c>
      <c r="Q1567" s="1629"/>
      <c r="R1567" s="2026"/>
      <c r="S1567" s="2027"/>
      <c r="T1567" s="1629"/>
      <c r="U1567" s="1629"/>
      <c r="V1567" s="1629"/>
      <c r="W1567" s="1629"/>
      <c r="X1567" s="1629"/>
      <c r="Y1567" s="1629"/>
      <c r="Z1567" s="1629"/>
    </row>
    <row r="1568" spans="1:26" ht="20.25" customHeight="1">
      <c r="A1568" s="1861" t="s">
        <v>3872</v>
      </c>
      <c r="B1568" s="1861"/>
      <c r="C1568" s="1861"/>
      <c r="D1568" s="1861"/>
      <c r="E1568" s="1861"/>
      <c r="F1568" s="1934" t="s">
        <v>4195</v>
      </c>
      <c r="G1568" s="1629"/>
      <c r="H1568" s="1629"/>
      <c r="I1568" s="1629"/>
      <c r="J1568" s="1934" t="s">
        <v>4195</v>
      </c>
      <c r="K1568" s="1934"/>
      <c r="L1568" s="1629"/>
      <c r="M1568" s="1629"/>
      <c r="N1568" s="1629"/>
      <c r="O1568" s="478" t="s">
        <v>4195</v>
      </c>
      <c r="P1568" s="478"/>
      <c r="Q1568" s="1629"/>
      <c r="R1568" s="2026"/>
      <c r="S1568" s="2027"/>
      <c r="T1568" s="1629"/>
      <c r="U1568" s="1629"/>
      <c r="V1568" s="1629"/>
      <c r="W1568" s="1629"/>
      <c r="X1568" s="1629"/>
      <c r="Y1568" s="1629"/>
      <c r="Z1568" s="1629"/>
    </row>
    <row r="1569" spans="1:26" ht="20.25" customHeight="1">
      <c r="A1569" s="1861"/>
      <c r="B1569" s="1861"/>
      <c r="C1569" s="1861"/>
      <c r="D1569" s="1861"/>
      <c r="E1569" s="1861"/>
      <c r="F1569" s="1837">
        <f>SUM(F1570:F1581)</f>
        <v>0</v>
      </c>
      <c r="G1569" s="1978" t="s">
        <v>3609</v>
      </c>
      <c r="H1569" s="1978"/>
      <c r="I1569" s="1978"/>
      <c r="J1569" s="1837">
        <f>SUM(J1570:J1581)</f>
        <v>0</v>
      </c>
      <c r="K1569" s="1933" t="s">
        <v>3393</v>
      </c>
      <c r="L1569" s="1933"/>
      <c r="M1569" s="1933"/>
      <c r="N1569" s="1933"/>
      <c r="O1569" s="1818">
        <f>SUM(O1570:O1581)</f>
        <v>0</v>
      </c>
      <c r="P1569" s="1818"/>
      <c r="Q1569" s="2026"/>
      <c r="R1569" s="2027"/>
      <c r="S1569" s="1629"/>
      <c r="T1569" s="1629"/>
      <c r="U1569" s="1629"/>
      <c r="V1569" s="1629"/>
      <c r="W1569" s="1629"/>
      <c r="X1569" s="1629"/>
      <c r="Y1569" s="1629"/>
      <c r="Z1569" s="1629"/>
    </row>
    <row r="1570" spans="1:26" ht="20.25">
      <c r="A1570" s="1707">
        <f>'Part IX A-Scoring Criteria'!A16</f>
        <v>1</v>
      </c>
      <c r="B1570" s="1707">
        <f>'Part IX A-Scoring Criteria'!B16</f>
        <v>0</v>
      </c>
      <c r="C1570" s="1707">
        <f>'Part IX A-Scoring Criteria'!C16</f>
        <v>0</v>
      </c>
      <c r="D1570" s="1707">
        <f>'Part IX A-Scoring Criteria'!D16</f>
        <v>0</v>
      </c>
      <c r="E1570" s="1707">
        <f>'Part IX A-Scoring Criteria'!E16</f>
        <v>0</v>
      </c>
      <c r="F1570" s="2028">
        <f>'Part IX A-Scoring Criteria'!F16</f>
        <v>0</v>
      </c>
      <c r="G1570" s="1707">
        <f>'Part IX A-Scoring Criteria'!G16</f>
        <v>1</v>
      </c>
      <c r="H1570" s="1707">
        <f>'Part IX A-Scoring Criteria'!H16</f>
        <v>0</v>
      </c>
      <c r="I1570" s="1707">
        <f>'Part IX A-Scoring Criteria'!I16</f>
        <v>0</v>
      </c>
      <c r="J1570" s="2029" t="s">
        <v>1746</v>
      </c>
      <c r="K1570" s="1707">
        <f>'Part IX A-Scoring Criteria'!K16</f>
        <v>1</v>
      </c>
      <c r="L1570" s="1707">
        <f>'Part IX A-Scoring Criteria'!L16</f>
        <v>0</v>
      </c>
      <c r="M1570" s="1707">
        <f>'Part IX A-Scoring Criteria'!M16</f>
        <v>0</v>
      </c>
      <c r="N1570" s="1707">
        <f>'Part IX A-Scoring Criteria'!N16</f>
        <v>0</v>
      </c>
      <c r="O1570" s="2011" t="s">
        <v>1746</v>
      </c>
      <c r="P1570" s="2011"/>
      <c r="Q1570" s="2030"/>
      <c r="R1570" s="2027"/>
      <c r="S1570" s="1629"/>
      <c r="T1570" s="1629"/>
      <c r="U1570" s="1629"/>
      <c r="V1570" s="1629"/>
      <c r="W1570" s="1629"/>
      <c r="X1570" s="1629"/>
      <c r="Y1570" s="1629"/>
      <c r="Z1570" s="1629"/>
    </row>
    <row r="1571" spans="1:26" ht="20.25">
      <c r="A1571" s="1707">
        <f>'Part IX A-Scoring Criteria'!A17</f>
        <v>2</v>
      </c>
      <c r="B1571" s="1707">
        <f>'Part IX A-Scoring Criteria'!B17</f>
        <v>0</v>
      </c>
      <c r="C1571" s="1707">
        <f>'Part IX A-Scoring Criteria'!C17</f>
        <v>0</v>
      </c>
      <c r="D1571" s="1707">
        <f>'Part IX A-Scoring Criteria'!D17</f>
        <v>0</v>
      </c>
      <c r="E1571" s="1707">
        <f>'Part IX A-Scoring Criteria'!E17</f>
        <v>0</v>
      </c>
      <c r="F1571" s="2028">
        <f>'Part IX A-Scoring Criteria'!F17</f>
        <v>0</v>
      </c>
      <c r="G1571" s="1707">
        <f>'Part IX A-Scoring Criteria'!G17</f>
        <v>2</v>
      </c>
      <c r="H1571" s="1707">
        <f>'Part IX A-Scoring Criteria'!H17</f>
        <v>0</v>
      </c>
      <c r="I1571" s="1707">
        <f>'Part IX A-Scoring Criteria'!I17</f>
        <v>0</v>
      </c>
      <c r="J1571" s="2028">
        <f>'Part IX A-Scoring Criteria'!J17</f>
        <v>0</v>
      </c>
      <c r="K1571" s="1707">
        <f>'Part IX A-Scoring Criteria'!K17</f>
        <v>2</v>
      </c>
      <c r="L1571" s="1707">
        <f>'Part IX A-Scoring Criteria'!L17</f>
        <v>0</v>
      </c>
      <c r="M1571" s="1707">
        <f>'Part IX A-Scoring Criteria'!M17</f>
        <v>0</v>
      </c>
      <c r="N1571" s="1707">
        <f>'Part IX A-Scoring Criteria'!N17</f>
        <v>0</v>
      </c>
      <c r="O1571" s="2031">
        <f>'Part IX A-Scoring Criteria'!O17</f>
        <v>0</v>
      </c>
      <c r="P1571" s="2031">
        <f>'Part IX A-Scoring Criteria'!P17</f>
        <v>0</v>
      </c>
      <c r="Q1571" s="2030"/>
      <c r="R1571" s="2027"/>
      <c r="S1571" s="1629"/>
      <c r="T1571" s="1629"/>
      <c r="U1571" s="1629"/>
      <c r="V1571" s="1629"/>
      <c r="W1571" s="1629"/>
      <c r="X1571" s="1629"/>
      <c r="Y1571" s="1629"/>
      <c r="Z1571" s="1629"/>
    </row>
    <row r="1572" spans="1:26" ht="20.25">
      <c r="A1572" s="1707">
        <f>'Part IX A-Scoring Criteria'!A18</f>
        <v>3</v>
      </c>
      <c r="B1572" s="1707">
        <f>'Part IX A-Scoring Criteria'!B18</f>
        <v>0</v>
      </c>
      <c r="C1572" s="1707">
        <f>'Part IX A-Scoring Criteria'!C18</f>
        <v>0</v>
      </c>
      <c r="D1572" s="1707">
        <f>'Part IX A-Scoring Criteria'!D18</f>
        <v>0</v>
      </c>
      <c r="E1572" s="1707">
        <f>'Part IX A-Scoring Criteria'!E18</f>
        <v>0</v>
      </c>
      <c r="F1572" s="2028">
        <f>'Part IX A-Scoring Criteria'!F18</f>
        <v>0</v>
      </c>
      <c r="G1572" s="1707">
        <f>'Part IX A-Scoring Criteria'!G18</f>
        <v>3</v>
      </c>
      <c r="H1572" s="1707">
        <f>'Part IX A-Scoring Criteria'!H18</f>
        <v>0</v>
      </c>
      <c r="I1572" s="1707">
        <f>'Part IX A-Scoring Criteria'!I18</f>
        <v>0</v>
      </c>
      <c r="J1572" s="2032" t="s">
        <v>2924</v>
      </c>
      <c r="K1572" s="1707">
        <f>'Part IX A-Scoring Criteria'!K18</f>
        <v>3</v>
      </c>
      <c r="L1572" s="1707">
        <f>'Part IX A-Scoring Criteria'!L18</f>
        <v>0</v>
      </c>
      <c r="M1572" s="1707">
        <f>'Part IX A-Scoring Criteria'!M18</f>
        <v>0</v>
      </c>
      <c r="N1572" s="1707">
        <f>'Part IX A-Scoring Criteria'!N18</f>
        <v>0</v>
      </c>
      <c r="O1572" s="2011" t="s">
        <v>2924</v>
      </c>
      <c r="P1572" s="2011"/>
      <c r="Q1572" s="2030"/>
      <c r="R1572" s="2027"/>
      <c r="S1572" s="1629"/>
      <c r="T1572" s="1629"/>
      <c r="U1572" s="1629"/>
      <c r="V1572" s="1629"/>
      <c r="W1572" s="1629"/>
      <c r="X1572" s="1629"/>
      <c r="Y1572" s="1629"/>
      <c r="Z1572" s="1629"/>
    </row>
    <row r="1573" spans="1:26" ht="20.25" customHeight="1">
      <c r="A1573" s="1707">
        <f>'Part IX A-Scoring Criteria'!A19</f>
        <v>4</v>
      </c>
      <c r="B1573" s="1707">
        <f>'Part IX A-Scoring Criteria'!B19</f>
        <v>0</v>
      </c>
      <c r="C1573" s="1707">
        <f>'Part IX A-Scoring Criteria'!C19</f>
        <v>0</v>
      </c>
      <c r="D1573" s="1707">
        <f>'Part IX A-Scoring Criteria'!D19</f>
        <v>0</v>
      </c>
      <c r="E1573" s="1707">
        <f>'Part IX A-Scoring Criteria'!E19</f>
        <v>0</v>
      </c>
      <c r="F1573" s="2028">
        <f>'Part IX A-Scoring Criteria'!F19</f>
        <v>0</v>
      </c>
      <c r="G1573" s="1707">
        <f>'Part IX A-Scoring Criteria'!G19</f>
        <v>4</v>
      </c>
      <c r="H1573" s="1707">
        <f>'Part IX A-Scoring Criteria'!H19</f>
        <v>0</v>
      </c>
      <c r="I1573" s="1707">
        <f>'Part IX A-Scoring Criteria'!I19</f>
        <v>0</v>
      </c>
      <c r="J1573" s="2028">
        <f>'Part IX A-Scoring Criteria'!J19</f>
        <v>0</v>
      </c>
      <c r="K1573" s="1707">
        <f>'Part IX A-Scoring Criteria'!K19</f>
        <v>4</v>
      </c>
      <c r="L1573" s="1707">
        <f>'Part IX A-Scoring Criteria'!L19</f>
        <v>0</v>
      </c>
      <c r="M1573" s="1707">
        <f>'Part IX A-Scoring Criteria'!M19</f>
        <v>0</v>
      </c>
      <c r="N1573" s="1707">
        <f>'Part IX A-Scoring Criteria'!N19</f>
        <v>0</v>
      </c>
      <c r="O1573" s="2011" t="s">
        <v>2924</v>
      </c>
      <c r="P1573" s="2011"/>
      <c r="Q1573" s="2030"/>
      <c r="R1573" s="2027"/>
      <c r="S1573" s="1629"/>
      <c r="T1573" s="1629"/>
      <c r="U1573" s="1629"/>
      <c r="V1573" s="1629"/>
      <c r="W1573" s="1629"/>
      <c r="X1573" s="1629"/>
      <c r="Y1573" s="1629"/>
      <c r="Z1573" s="1629"/>
    </row>
    <row r="1574" spans="1:26" ht="20.25">
      <c r="A1574" s="1707">
        <f>'Part IX A-Scoring Criteria'!A20</f>
        <v>5</v>
      </c>
      <c r="B1574" s="1707">
        <f>'Part IX A-Scoring Criteria'!B20</f>
        <v>0</v>
      </c>
      <c r="C1574" s="1707">
        <f>'Part IX A-Scoring Criteria'!C20</f>
        <v>0</v>
      </c>
      <c r="D1574" s="1707">
        <f>'Part IX A-Scoring Criteria'!D20</f>
        <v>0</v>
      </c>
      <c r="E1574" s="1707">
        <f>'Part IX A-Scoring Criteria'!E20</f>
        <v>0</v>
      </c>
      <c r="F1574" s="2028">
        <f>'Part IX A-Scoring Criteria'!F20</f>
        <v>0</v>
      </c>
      <c r="G1574" s="1707">
        <f>'Part IX A-Scoring Criteria'!G20</f>
        <v>5</v>
      </c>
      <c r="H1574" s="1707">
        <f>'Part IX A-Scoring Criteria'!H20</f>
        <v>0</v>
      </c>
      <c r="I1574" s="1707">
        <f>'Part IX A-Scoring Criteria'!I20</f>
        <v>0</v>
      </c>
      <c r="J1574" s="2032" t="s">
        <v>3610</v>
      </c>
      <c r="K1574" s="1707">
        <f>'Part IX A-Scoring Criteria'!K20</f>
        <v>5</v>
      </c>
      <c r="L1574" s="1707">
        <f>'Part IX A-Scoring Criteria'!L20</f>
        <v>0</v>
      </c>
      <c r="M1574" s="1707">
        <f>'Part IX A-Scoring Criteria'!M20</f>
        <v>0</v>
      </c>
      <c r="N1574" s="1707">
        <f>'Part IX A-Scoring Criteria'!N20</f>
        <v>0</v>
      </c>
      <c r="O1574" s="2031">
        <f>'Part IX A-Scoring Criteria'!O20</f>
        <v>0</v>
      </c>
      <c r="P1574" s="2031">
        <f>'Part IX A-Scoring Criteria'!P20</f>
        <v>0</v>
      </c>
      <c r="Q1574" s="2027"/>
      <c r="R1574" s="2027"/>
      <c r="S1574" s="1629"/>
      <c r="T1574" s="1629"/>
      <c r="U1574" s="1629"/>
      <c r="V1574" s="1629"/>
      <c r="W1574" s="1629"/>
      <c r="X1574" s="1629"/>
      <c r="Y1574" s="1629"/>
      <c r="Z1574" s="1629"/>
    </row>
    <row r="1575" spans="1:26" ht="20.25">
      <c r="A1575" s="1707">
        <f>'Part IX A-Scoring Criteria'!A21</f>
        <v>6</v>
      </c>
      <c r="B1575" s="1707">
        <f>'Part IX A-Scoring Criteria'!B21</f>
        <v>0</v>
      </c>
      <c r="C1575" s="1707">
        <f>'Part IX A-Scoring Criteria'!C21</f>
        <v>0</v>
      </c>
      <c r="D1575" s="1707">
        <f>'Part IX A-Scoring Criteria'!D21</f>
        <v>0</v>
      </c>
      <c r="E1575" s="1707">
        <f>'Part IX A-Scoring Criteria'!E21</f>
        <v>0</v>
      </c>
      <c r="F1575" s="2028">
        <f>'Part IX A-Scoring Criteria'!F21</f>
        <v>0</v>
      </c>
      <c r="G1575" s="1707">
        <f>'Part IX A-Scoring Criteria'!G21</f>
        <v>6</v>
      </c>
      <c r="H1575" s="1707">
        <f>'Part IX A-Scoring Criteria'!H21</f>
        <v>0</v>
      </c>
      <c r="I1575" s="1707">
        <f>'Part IX A-Scoring Criteria'!I21</f>
        <v>0</v>
      </c>
      <c r="J1575" s="2028">
        <f>'Part IX A-Scoring Criteria'!J21</f>
        <v>0</v>
      </c>
      <c r="K1575" s="1707">
        <f>'Part IX A-Scoring Criteria'!K21</f>
        <v>6</v>
      </c>
      <c r="L1575" s="1707">
        <f>'Part IX A-Scoring Criteria'!L21</f>
        <v>0</v>
      </c>
      <c r="M1575" s="1707">
        <f>'Part IX A-Scoring Criteria'!M21</f>
        <v>0</v>
      </c>
      <c r="N1575" s="1707">
        <f>'Part IX A-Scoring Criteria'!N21</f>
        <v>0</v>
      </c>
      <c r="O1575" s="2031">
        <f>'Part IX A-Scoring Criteria'!O21</f>
        <v>0</v>
      </c>
      <c r="P1575" s="2031">
        <f>'Part IX A-Scoring Criteria'!P21</f>
        <v>0</v>
      </c>
      <c r="Q1575" s="2027"/>
      <c r="R1575" s="2027"/>
      <c r="S1575" s="1629"/>
      <c r="T1575" s="1629"/>
      <c r="U1575" s="1629"/>
      <c r="V1575" s="1629"/>
      <c r="W1575" s="1629"/>
      <c r="X1575" s="1629"/>
      <c r="Y1575" s="1629"/>
      <c r="Z1575" s="1629"/>
    </row>
    <row r="1576" spans="1:26" ht="20.25">
      <c r="A1576" s="1707">
        <f>'Part IX A-Scoring Criteria'!A22</f>
        <v>7</v>
      </c>
      <c r="B1576" s="1707">
        <f>'Part IX A-Scoring Criteria'!B22</f>
        <v>0</v>
      </c>
      <c r="C1576" s="1707">
        <f>'Part IX A-Scoring Criteria'!C22</f>
        <v>0</v>
      </c>
      <c r="D1576" s="1707">
        <f>'Part IX A-Scoring Criteria'!D22</f>
        <v>0</v>
      </c>
      <c r="E1576" s="1707">
        <f>'Part IX A-Scoring Criteria'!E22</f>
        <v>0</v>
      </c>
      <c r="F1576" s="2028">
        <f>'Part IX A-Scoring Criteria'!F22</f>
        <v>0</v>
      </c>
      <c r="G1576" s="1707">
        <f>'Part IX A-Scoring Criteria'!G22</f>
        <v>7</v>
      </c>
      <c r="H1576" s="1707">
        <f>'Part IX A-Scoring Criteria'!H22</f>
        <v>0</v>
      </c>
      <c r="I1576" s="1707">
        <f>'Part IX A-Scoring Criteria'!I22</f>
        <v>0</v>
      </c>
      <c r="J1576" s="2032" t="s">
        <v>3611</v>
      </c>
      <c r="K1576" s="1707">
        <f>'Part IX A-Scoring Criteria'!K22</f>
        <v>7</v>
      </c>
      <c r="L1576" s="1707">
        <f>'Part IX A-Scoring Criteria'!L22</f>
        <v>0</v>
      </c>
      <c r="M1576" s="1707">
        <f>'Part IX A-Scoring Criteria'!M22</f>
        <v>0</v>
      </c>
      <c r="N1576" s="1707">
        <f>'Part IX A-Scoring Criteria'!N22</f>
        <v>0</v>
      </c>
      <c r="O1576" s="2031">
        <f>'Part IX A-Scoring Criteria'!O22</f>
        <v>0</v>
      </c>
      <c r="P1576" s="2031">
        <f>'Part IX A-Scoring Criteria'!P22</f>
        <v>0</v>
      </c>
      <c r="Q1576" s="2027"/>
      <c r="R1576" s="2027"/>
      <c r="S1576" s="1629"/>
      <c r="T1576" s="1629"/>
      <c r="U1576" s="1629"/>
      <c r="V1576" s="1629"/>
      <c r="W1576" s="1629"/>
      <c r="X1576" s="1629"/>
      <c r="Y1576" s="1629"/>
      <c r="Z1576" s="1629"/>
    </row>
    <row r="1577" spans="1:26" ht="20.25">
      <c r="A1577" s="1707">
        <f>'Part IX A-Scoring Criteria'!A23</f>
        <v>8</v>
      </c>
      <c r="B1577" s="1707">
        <f>'Part IX A-Scoring Criteria'!B23</f>
        <v>0</v>
      </c>
      <c r="C1577" s="1707">
        <f>'Part IX A-Scoring Criteria'!C23</f>
        <v>0</v>
      </c>
      <c r="D1577" s="1707">
        <f>'Part IX A-Scoring Criteria'!D23</f>
        <v>0</v>
      </c>
      <c r="E1577" s="1707">
        <f>'Part IX A-Scoring Criteria'!E23</f>
        <v>0</v>
      </c>
      <c r="F1577" s="2028">
        <f>'Part IX A-Scoring Criteria'!F23</f>
        <v>0</v>
      </c>
      <c r="G1577" s="1707">
        <f>'Part IX A-Scoring Criteria'!G23</f>
        <v>8</v>
      </c>
      <c r="H1577" s="1707">
        <f>'Part IX A-Scoring Criteria'!H23</f>
        <v>0</v>
      </c>
      <c r="I1577" s="1707">
        <f>'Part IX A-Scoring Criteria'!I23</f>
        <v>0</v>
      </c>
      <c r="J1577" s="2028">
        <f>'Part IX A-Scoring Criteria'!J23</f>
        <v>0</v>
      </c>
      <c r="K1577" s="1707">
        <f>'Part IX A-Scoring Criteria'!K23</f>
        <v>8</v>
      </c>
      <c r="L1577" s="1707">
        <f>'Part IX A-Scoring Criteria'!L23</f>
        <v>0</v>
      </c>
      <c r="M1577" s="1707">
        <f>'Part IX A-Scoring Criteria'!M23</f>
        <v>0</v>
      </c>
      <c r="N1577" s="1707">
        <f>'Part IX A-Scoring Criteria'!N23</f>
        <v>0</v>
      </c>
      <c r="O1577" s="2031">
        <f>'Part IX A-Scoring Criteria'!O23</f>
        <v>0</v>
      </c>
      <c r="P1577" s="2031">
        <f>'Part IX A-Scoring Criteria'!P23</f>
        <v>0</v>
      </c>
      <c r="Q1577" s="2027"/>
      <c r="R1577" s="2027"/>
      <c r="S1577" s="1629"/>
      <c r="T1577" s="1629"/>
      <c r="U1577" s="1629"/>
      <c r="V1577" s="1629"/>
      <c r="W1577" s="1629"/>
      <c r="X1577" s="1629"/>
      <c r="Y1577" s="1629"/>
      <c r="Z1577" s="1629"/>
    </row>
    <row r="1578" spans="1:26" ht="20.25">
      <c r="A1578" s="1707">
        <f>'Part IX A-Scoring Criteria'!A24</f>
        <v>9</v>
      </c>
      <c r="B1578" s="1707">
        <f>'Part IX A-Scoring Criteria'!B24</f>
        <v>0</v>
      </c>
      <c r="C1578" s="1707">
        <f>'Part IX A-Scoring Criteria'!C24</f>
        <v>0</v>
      </c>
      <c r="D1578" s="1707">
        <f>'Part IX A-Scoring Criteria'!D24</f>
        <v>0</v>
      </c>
      <c r="E1578" s="1707">
        <f>'Part IX A-Scoring Criteria'!E24</f>
        <v>0</v>
      </c>
      <c r="F1578" s="2028">
        <f>'Part IX A-Scoring Criteria'!F24</f>
        <v>0</v>
      </c>
      <c r="G1578" s="1707">
        <f>'Part IX A-Scoring Criteria'!G24</f>
        <v>9</v>
      </c>
      <c r="H1578" s="1707">
        <f>'Part IX A-Scoring Criteria'!H24</f>
        <v>0</v>
      </c>
      <c r="I1578" s="1707">
        <f>'Part IX A-Scoring Criteria'!I24</f>
        <v>0</v>
      </c>
      <c r="J1578" s="2032" t="s">
        <v>3612</v>
      </c>
      <c r="K1578" s="1707">
        <f>'Part IX A-Scoring Criteria'!K24</f>
        <v>9</v>
      </c>
      <c r="L1578" s="1707">
        <f>'Part IX A-Scoring Criteria'!L24</f>
        <v>0</v>
      </c>
      <c r="M1578" s="1707">
        <f>'Part IX A-Scoring Criteria'!M24</f>
        <v>0</v>
      </c>
      <c r="N1578" s="1707">
        <f>'Part IX A-Scoring Criteria'!N24</f>
        <v>0</v>
      </c>
      <c r="O1578" s="2031">
        <f>'Part IX A-Scoring Criteria'!O24</f>
        <v>0</v>
      </c>
      <c r="P1578" s="2031">
        <f>'Part IX A-Scoring Criteria'!P24</f>
        <v>0</v>
      </c>
      <c r="Q1578" s="2027"/>
      <c r="R1578" s="2027"/>
      <c r="S1578" s="1629"/>
      <c r="T1578" s="1629"/>
      <c r="U1578" s="1629"/>
      <c r="V1578" s="1629"/>
      <c r="W1578" s="1629"/>
      <c r="X1578" s="1629"/>
      <c r="Y1578" s="1629"/>
      <c r="Z1578" s="1629"/>
    </row>
    <row r="1579" spans="1:26" ht="20.25">
      <c r="A1579" s="1707">
        <f>'Part IX A-Scoring Criteria'!A25</f>
        <v>10</v>
      </c>
      <c r="B1579" s="1707">
        <f>'Part IX A-Scoring Criteria'!B25</f>
        <v>0</v>
      </c>
      <c r="C1579" s="1707">
        <f>'Part IX A-Scoring Criteria'!C25</f>
        <v>0</v>
      </c>
      <c r="D1579" s="1707">
        <f>'Part IX A-Scoring Criteria'!D25</f>
        <v>0</v>
      </c>
      <c r="E1579" s="1707">
        <f>'Part IX A-Scoring Criteria'!E25</f>
        <v>0</v>
      </c>
      <c r="F1579" s="2028">
        <f>'Part IX A-Scoring Criteria'!F25</f>
        <v>0</v>
      </c>
      <c r="G1579" s="1707">
        <f>'Part IX A-Scoring Criteria'!G25</f>
        <v>10</v>
      </c>
      <c r="H1579" s="1707">
        <f>'Part IX A-Scoring Criteria'!H25</f>
        <v>0</v>
      </c>
      <c r="I1579" s="1707">
        <f>'Part IX A-Scoring Criteria'!I25</f>
        <v>0</v>
      </c>
      <c r="J1579" s="2028">
        <f>'Part IX A-Scoring Criteria'!J25</f>
        <v>0</v>
      </c>
      <c r="K1579" s="1707">
        <f>'Part IX A-Scoring Criteria'!K25</f>
        <v>10</v>
      </c>
      <c r="L1579" s="1707">
        <f>'Part IX A-Scoring Criteria'!L25</f>
        <v>0</v>
      </c>
      <c r="M1579" s="1707">
        <f>'Part IX A-Scoring Criteria'!M25</f>
        <v>0</v>
      </c>
      <c r="N1579" s="1707">
        <f>'Part IX A-Scoring Criteria'!N25</f>
        <v>0</v>
      </c>
      <c r="O1579" s="2031">
        <f>'Part IX A-Scoring Criteria'!O25</f>
        <v>0</v>
      </c>
      <c r="P1579" s="2031">
        <f>'Part IX A-Scoring Criteria'!P25</f>
        <v>0</v>
      </c>
      <c r="Q1579" s="2027"/>
      <c r="R1579" s="2027"/>
      <c r="S1579" s="1629"/>
      <c r="T1579" s="1629"/>
      <c r="U1579" s="1629"/>
      <c r="V1579" s="1629"/>
      <c r="W1579" s="1629"/>
      <c r="X1579" s="1629"/>
      <c r="Y1579" s="1629"/>
      <c r="Z1579" s="1629"/>
    </row>
    <row r="1580" spans="1:26" ht="20.25">
      <c r="A1580" s="1707">
        <f>'Part IX A-Scoring Criteria'!A26</f>
        <v>11</v>
      </c>
      <c r="B1580" s="1707">
        <f>'Part IX A-Scoring Criteria'!B26</f>
        <v>0</v>
      </c>
      <c r="C1580" s="1707">
        <f>'Part IX A-Scoring Criteria'!C26</f>
        <v>0</v>
      </c>
      <c r="D1580" s="1707">
        <f>'Part IX A-Scoring Criteria'!D26</f>
        <v>0</v>
      </c>
      <c r="E1580" s="1707">
        <f>'Part IX A-Scoring Criteria'!E26</f>
        <v>0</v>
      </c>
      <c r="F1580" s="2028">
        <f>'Part IX A-Scoring Criteria'!F26</f>
        <v>0</v>
      </c>
      <c r="G1580" s="1707">
        <f>'Part IX A-Scoring Criteria'!G26</f>
        <v>11</v>
      </c>
      <c r="H1580" s="1707">
        <f>'Part IX A-Scoring Criteria'!H26</f>
        <v>0</v>
      </c>
      <c r="I1580" s="1707">
        <f>'Part IX A-Scoring Criteria'!I26</f>
        <v>0</v>
      </c>
      <c r="J1580" s="2032" t="s">
        <v>3613</v>
      </c>
      <c r="K1580" s="1707">
        <f>'Part IX A-Scoring Criteria'!K26</f>
        <v>11</v>
      </c>
      <c r="L1580" s="1707">
        <f>'Part IX A-Scoring Criteria'!L26</f>
        <v>0</v>
      </c>
      <c r="M1580" s="1707">
        <f>'Part IX A-Scoring Criteria'!M26</f>
        <v>0</v>
      </c>
      <c r="N1580" s="1707">
        <f>'Part IX A-Scoring Criteria'!N26</f>
        <v>0</v>
      </c>
      <c r="O1580" s="2031">
        <f>'Part IX A-Scoring Criteria'!O26</f>
        <v>0</v>
      </c>
      <c r="P1580" s="2031">
        <f>'Part IX A-Scoring Criteria'!P26</f>
        <v>0</v>
      </c>
      <c r="Q1580" s="2027"/>
      <c r="R1580" s="2027"/>
      <c r="S1580" s="1629"/>
      <c r="T1580" s="1629"/>
      <c r="U1580" s="1629"/>
      <c r="V1580" s="1629"/>
      <c r="W1580" s="1629"/>
      <c r="X1580" s="1629"/>
      <c r="Y1580" s="1629"/>
      <c r="Z1580" s="1629"/>
    </row>
    <row r="1581" spans="1:26">
      <c r="A1581" s="1707">
        <f>'Part IX A-Scoring Criteria'!A27</f>
        <v>12</v>
      </c>
      <c r="B1581" s="1707">
        <f>'Part IX A-Scoring Criteria'!B27</f>
        <v>0</v>
      </c>
      <c r="C1581" s="1707">
        <f>'Part IX A-Scoring Criteria'!C27</f>
        <v>0</v>
      </c>
      <c r="D1581" s="1707">
        <f>'Part IX A-Scoring Criteria'!D27</f>
        <v>0</v>
      </c>
      <c r="E1581" s="1707">
        <f>'Part IX A-Scoring Criteria'!E27</f>
        <v>0</v>
      </c>
      <c r="F1581" s="2028">
        <f>'Part IX A-Scoring Criteria'!F27</f>
        <v>0</v>
      </c>
      <c r="G1581" s="1707">
        <f>'Part IX A-Scoring Criteria'!G27</f>
        <v>12</v>
      </c>
      <c r="H1581" s="1707">
        <f>'Part IX A-Scoring Criteria'!H27</f>
        <v>0</v>
      </c>
      <c r="I1581" s="1707">
        <f>'Part IX A-Scoring Criteria'!I27</f>
        <v>0</v>
      </c>
      <c r="J1581" s="2028">
        <f>'Part IX A-Scoring Criteria'!J27</f>
        <v>0</v>
      </c>
      <c r="K1581" s="1707">
        <f>'Part IX A-Scoring Criteria'!K27</f>
        <v>12</v>
      </c>
      <c r="L1581" s="1707">
        <f>'Part IX A-Scoring Criteria'!L27</f>
        <v>0</v>
      </c>
      <c r="M1581" s="1707">
        <f>'Part IX A-Scoring Criteria'!M27</f>
        <v>0</v>
      </c>
      <c r="N1581" s="1707">
        <f>'Part IX A-Scoring Criteria'!N27</f>
        <v>0</v>
      </c>
      <c r="O1581" s="2031">
        <f>'Part IX A-Scoring Criteria'!O27</f>
        <v>0</v>
      </c>
      <c r="P1581" s="2031">
        <f>'Part IX A-Scoring Criteria'!P27</f>
        <v>0</v>
      </c>
      <c r="Q1581" s="1629"/>
      <c r="R1581" s="1629"/>
      <c r="S1581" s="1629"/>
      <c r="T1581" s="1629"/>
      <c r="U1581" s="1629"/>
      <c r="V1581" s="1629"/>
      <c r="W1581" s="1629"/>
      <c r="X1581" s="1629"/>
      <c r="Y1581" s="1629"/>
      <c r="Z1581" s="1629"/>
    </row>
    <row r="1582" spans="1:26" ht="15" customHeight="1">
      <c r="A1582" s="2022"/>
      <c r="B1582" s="2033"/>
      <c r="C1582" s="2033"/>
      <c r="D1582" s="2033"/>
      <c r="E1582" s="2033"/>
      <c r="F1582" s="2034" t="s">
        <v>4805</v>
      </c>
      <c r="G1582" s="2034"/>
      <c r="H1582" s="2034"/>
      <c r="I1582" s="2034"/>
      <c r="J1582" s="2034"/>
      <c r="K1582" s="2034"/>
      <c r="L1582" s="2034"/>
      <c r="M1582" s="2034"/>
      <c r="N1582" s="2034"/>
      <c r="O1582" s="2034"/>
      <c r="P1582" s="2034"/>
      <c r="Q1582" s="1837"/>
      <c r="R1582" s="1985"/>
      <c r="S1582" s="2022"/>
      <c r="T1582" s="2022"/>
      <c r="U1582" s="2022"/>
      <c r="V1582" s="2022"/>
      <c r="W1582" s="2022"/>
      <c r="X1582" s="2022"/>
      <c r="Y1582" s="2022"/>
      <c r="Z1582" s="2022"/>
    </row>
    <row r="1583" spans="1:26" ht="20.25">
      <c r="A1583" s="1631" t="s">
        <v>4196</v>
      </c>
      <c r="B1583" s="478" t="s">
        <v>4197</v>
      </c>
      <c r="C1583" s="478"/>
      <c r="D1583" s="478"/>
      <c r="E1583" s="1748" t="s">
        <v>4226</v>
      </c>
      <c r="F1583" s="478" t="s">
        <v>4225</v>
      </c>
      <c r="G1583" s="478"/>
      <c r="H1583" s="478"/>
      <c r="I1583" s="478"/>
      <c r="J1583" s="478"/>
      <c r="K1583" s="478"/>
      <c r="L1583" s="478"/>
      <c r="M1583" s="478"/>
      <c r="N1583" s="2035"/>
      <c r="O1583" s="1818">
        <f>SUM(O1584:O1595)</f>
        <v>0</v>
      </c>
      <c r="P1583" s="1818"/>
      <c r="Q1583" s="2026"/>
      <c r="R1583" s="2027"/>
      <c r="S1583" s="1629"/>
      <c r="T1583" s="1629"/>
      <c r="U1583" s="1629"/>
      <c r="V1583" s="1629"/>
      <c r="W1583" s="1629"/>
      <c r="X1583" s="1629"/>
      <c r="Y1583" s="1629"/>
      <c r="Z1583" s="1629"/>
    </row>
    <row r="1584" spans="1:26" ht="409.5">
      <c r="A1584" s="2036" t="s">
        <v>750</v>
      </c>
      <c r="B1584" s="2037" t="s">
        <v>4198</v>
      </c>
      <c r="C1584" s="1707"/>
      <c r="D1584" s="1707"/>
      <c r="E1584" s="2038">
        <f>'Part IX A-Scoring Criteria'!E30</f>
        <v>10</v>
      </c>
      <c r="F1584" s="1941" t="str">
        <f>'Part IX A-Scoring Criteria'!F30</f>
        <v xml:space="preserve">Tindall Fields III qualifies for the maximum points for this scoring section.  There are 3 desirable activities within a 1.5 mile driving or walking distance of Tindall Fields III that qualify for 1 point, and 5  desirable activities within a .5 mile driving or walking distance that qualify for 2 points.  Our A/E team determined the Geocoordinates for our planned site entrance located on Nussbaum Avenue which is indicated on both the desirable certification and site plan. We have also used the DCA required Google Maps to measure each distance to our selected desirable activities.
There is an older unoccupied residential dwelling directly across the street from the proposed Tindall Fields III Site Entrance (less than 0.25 miles). Although deteriorated in nature, it does not per the QAP, "detract from an area's physical appearance, diminish living conditions and/or safety of the neighborhood, and/or decrease the marketability of the proposed site" (Scoring Section, Pg 6). 
Our position is supported by the Novogradac market study, which confirmed that this property does not impact the Tindall Fields/neighborhood from a marketability standpoint when they state that, "During our site inspection, we observed a few vacant single-family homes in the Subject’s neighborhood. These vacant structures will not negatively impact the performance of the Subject. The Subject will be a compatible use within the immediate neighborhood" (See Tab 05-01, Novogradac Market Study, Page 3).
Furthermore, it is the Macon Housing Authority/In-Fill Housing’s goal to improve the community, and we’ve agreed to mitigate the property by demolishing the vacant dwelling on it. As the mitigation will be completed by the applicant as opposed to a third party, the structure will be removed by the placed-in-service date for the project. As part of our documentation, a copy of the "Demolition Agreement and Release" for the property, is included at Tab 27-04-01. We have also included a letter from the MHA/In-Fill Housing CEO that confirms that we have both the “site control” and the necessary funds to complete the mitigation, per Tab 27-04-02.
To summarize, we are not claiming an undesirable property, but we are making improvements to the property in question within the 0.25 mile radius in our continued effort to improve the Tindall Heights community. 
</v>
      </c>
      <c r="G1584" s="1941"/>
      <c r="H1584" s="1941"/>
      <c r="I1584" s="1941"/>
      <c r="J1584" s="1941"/>
      <c r="K1584" s="1941"/>
      <c r="L1584" s="1941"/>
      <c r="M1584" s="1941"/>
      <c r="N1584" s="1941"/>
      <c r="O1584" s="1978" t="s">
        <v>1746</v>
      </c>
      <c r="P1584" s="1978"/>
      <c r="Q1584" s="2030"/>
      <c r="R1584" s="2027"/>
      <c r="S1584" s="1629"/>
      <c r="T1584" s="1629"/>
      <c r="U1584" s="1629"/>
      <c r="V1584" s="1629"/>
      <c r="W1584" s="1629"/>
      <c r="X1584" s="1629"/>
      <c r="Y1584" s="1629"/>
      <c r="Z1584" s="1629"/>
    </row>
    <row r="1585" spans="1:26" ht="12.75" customHeight="1">
      <c r="A1585" s="2036" t="s">
        <v>1807</v>
      </c>
      <c r="B1585" s="2037" t="s">
        <v>4199</v>
      </c>
      <c r="C1585" s="1707"/>
      <c r="D1585" s="1707"/>
      <c r="E1585" s="2038">
        <f>'Part IX A-Scoring Criteria'!E31</f>
        <v>2</v>
      </c>
      <c r="F1585" s="1941" t="str">
        <f>'Part IX A-Scoring Criteria'!F31</f>
        <v xml:space="preserve">Tindall Fields III qualifies for points for this scoring section because Kathleen Mathews and Mark Strickland attended the Southface online seminar titled “Green Building for Affordable Housing” on April 20, 2018.  Their Certificates of Participation are at Tab 29-03-02.  For Section V-B:  we will achieve EarthCraft multifamily certification, as indicated by the worksheet at Tab 29-03-01. Per the worksheet, our expected score is 116; the minimum scoring requirement is 100. 
After submitting draft architectural plans to our qualified energy modeler (Ed Foskey with Synergy Home Advantage), he concluded that we are eligible for the point designated to the High Performance Building Design for having a worst case HERS Index that is at least 15% lower than the ENERGY STAR Target Index. The reports can be seen at Tab 29-05-01 &amp; Tab 29-05-02. 
</v>
      </c>
      <c r="G1585" s="1941"/>
      <c r="H1585" s="1941"/>
      <c r="I1585" s="1941"/>
      <c r="J1585" s="1941"/>
      <c r="K1585" s="1941"/>
      <c r="L1585" s="1941"/>
      <c r="M1585" s="1941"/>
      <c r="N1585" s="1941"/>
      <c r="O1585" s="1841">
        <f>'Part IX A-Scoring Criteria'!O31</f>
        <v>0</v>
      </c>
      <c r="P1585" s="1841">
        <f>'Part IX A-Scoring Criteria'!P31</f>
        <v>0</v>
      </c>
      <c r="Q1585" s="1799" t="str">
        <f>'Part IX A-Scoring Criteria'!Q31</f>
        <v/>
      </c>
      <c r="R1585" s="1799">
        <f>'Part IX A-Scoring Criteria'!R31</f>
        <v>0</v>
      </c>
      <c r="S1585" s="1799">
        <f>'Part IX A-Scoring Criteria'!S31</f>
        <v>0</v>
      </c>
      <c r="T1585" s="1629"/>
      <c r="U1585" s="1629"/>
      <c r="V1585" s="1629"/>
      <c r="W1585" s="1629"/>
      <c r="X1585" s="1629"/>
      <c r="Y1585" s="1629"/>
      <c r="Z1585" s="1629"/>
    </row>
    <row r="1586" spans="1:26" ht="12.75" customHeight="1">
      <c r="A1586" s="2036" t="s">
        <v>780</v>
      </c>
      <c r="B1586" s="2037" t="s">
        <v>4200</v>
      </c>
      <c r="C1586" s="1707"/>
      <c r="D1586" s="1707"/>
      <c r="E1586" s="2038">
        <f>'Part IX A-Scoring Criteria'!E32</f>
        <v>2</v>
      </c>
      <c r="F1586" s="1941" t="str">
        <f>'Part IX A-Scoring Criteria'!F32</f>
        <v xml:space="preserve">Scoring Section A, Quality Education Areas, is N/A.
For Scoring Section B, Workforce Housing Need, Tindall Fields III qualifies for the maximum two points in this scoring section.  According to the US Census survey (enclosed at Tab 31-03), there are over 27,429 jobs within a two-mile radius of our property, an increase of over 1,000 jobs from last year, and which is over three times the 9,000 jobs required to meet the 50%-over-threshold requirement for Macon-Bibb.  Again, please see Tab 31-03 and Tab 31-04 for the required documentation.
</v>
      </c>
      <c r="G1586" s="1941"/>
      <c r="H1586" s="1941"/>
      <c r="I1586" s="1941"/>
      <c r="J1586" s="1941"/>
      <c r="K1586" s="1941"/>
      <c r="L1586" s="1941"/>
      <c r="M1586" s="1941"/>
      <c r="N1586" s="1941"/>
      <c r="O1586" s="1978" t="s">
        <v>2924</v>
      </c>
      <c r="P1586" s="1978"/>
      <c r="Q1586" s="1799">
        <f>'Part IX A-Scoring Criteria'!Q32</f>
        <v>0</v>
      </c>
      <c r="R1586" s="1799">
        <f>'Part IX A-Scoring Criteria'!R32</f>
        <v>0</v>
      </c>
      <c r="S1586" s="1799">
        <f>'Part IX A-Scoring Criteria'!S32</f>
        <v>0</v>
      </c>
      <c r="T1586" s="1629"/>
      <c r="U1586" s="1629"/>
      <c r="V1586" s="1629"/>
      <c r="W1586" s="1629"/>
      <c r="X1586" s="1629"/>
      <c r="Y1586" s="1629"/>
      <c r="Z1586" s="1629"/>
    </row>
    <row r="1587" spans="1:26" ht="12.75" customHeight="1">
      <c r="A1587" s="2036" t="s">
        <v>294</v>
      </c>
      <c r="B1587" s="2037" t="s">
        <v>4201</v>
      </c>
      <c r="C1587" s="1707"/>
      <c r="D1587" s="1707"/>
      <c r="E1587" s="2038">
        <f>'Part IX A-Scoring Criteria'!E33</f>
        <v>7</v>
      </c>
      <c r="F1587" s="1941" t="str">
        <f>'Part IX A-Scoring Criteria'!F33</f>
        <v xml:space="preserve">Tindall Fields III qualifies for the maximum points for this scoring section.  We have a fully-compliant, current and active Macon-Bibb Urban Redevelopment Plan (see Tab 32-01-10), our site is in QCT 105 as documented at Tab 32-01-01, and our Off-Site Capital Investment meets all of the DCA requirements at Tab 32-02-01 through 32-02-10. 
Our Macon-Bibb Urban Redevelopment Plan (our local government’s name for the Community Revitalization Plan) has a long history. The City of Macon adopted an Urban Redevelopment Plan in March 2011.  The City of Macon and Bibb County officially consolidated their two governments on January 1, 2014, and the newly-formed consolidated Macon-Bibb Commission thereafter adopted the City’s Plan with minor amendments in May 2014.  In April 2016, the Macon Bibb County Commission updated the Plan to incorporate other areas of the County (Tindall Heights was not affected by this update.) In May 2017, the Macon Bibb County Commission updated the Plan to ensure full compliance with the DCA 2017 QAP requirements and to acknowledge the new Community Transformation Plan that was just getting underway. The current Macon-Bibb Urban Redevelopment Plan (URP) was officially adopted by the Macon-Bibb County Commission on May 1, 2018 to document progress made with the URP activities during the last twelve months. Perhaps the most significant update was the completion of a “Blexting Survey” to help combat the presence of blight in the URP targeted area. Please see Tab 32-01-01 through 32-01-10 that we believe will document to DCA’s satisfaction that we have a complete, active, and ongoing Community Revitalization Plan.   Tab 32 demonstrates to DCA that our URP is much more than a “plan sitting on a shelf” and that numerous improvements are underway in Macon-Bibb as a result of the integrity of the Community Revitalization Plan process.  Reference is made to Mayor Reichert’s letter at Tab 32-01-07 that more specifically certifies to this.
</v>
      </c>
      <c r="G1587" s="1941"/>
      <c r="H1587" s="1941"/>
      <c r="I1587" s="1941"/>
      <c r="J1587" s="1941"/>
      <c r="K1587" s="1941"/>
      <c r="L1587" s="1941"/>
      <c r="M1587" s="1941"/>
      <c r="N1587" s="1941"/>
      <c r="O1587" s="1978" t="s">
        <v>2924</v>
      </c>
      <c r="P1587" s="1978"/>
      <c r="Q1587" s="1799">
        <f>'Part IX A-Scoring Criteria'!Q33</f>
        <v>0</v>
      </c>
      <c r="R1587" s="1799">
        <f>'Part IX A-Scoring Criteria'!R33</f>
        <v>0</v>
      </c>
      <c r="S1587" s="1799">
        <f>'Part IX A-Scoring Criteria'!S33</f>
        <v>0</v>
      </c>
      <c r="T1587" s="1629"/>
      <c r="U1587" s="1629"/>
      <c r="V1587" s="1629"/>
      <c r="W1587" s="1629"/>
      <c r="X1587" s="1629"/>
      <c r="Y1587" s="1629"/>
      <c r="Z1587" s="1629"/>
    </row>
    <row r="1588" spans="1:26" ht="12.75" customHeight="1">
      <c r="A1588" s="2036" t="s">
        <v>428</v>
      </c>
      <c r="B1588" s="2037" t="s">
        <v>4202</v>
      </c>
      <c r="C1588" s="1707"/>
      <c r="D1588" s="1707"/>
      <c r="E1588" s="2039" t="str">
        <f>'Part IX A-Scoring Criteria'!E34</f>
        <v>n/a</v>
      </c>
      <c r="F1588" s="1941" t="str">
        <f>'Part IX A-Scoring Criteria'!F34</f>
        <v xml:space="preserve"> Tindall Fields III qualifies for the maximum points for this scoring section. In 2017 the Macon community created a Community Transformation Plan, which received DCA’s approval as part of its allocation of credits for Tindall Fields II (DCA 17-028).  The Macon-Bibb political and local leaders in education, health, transportation, and employment came together thanks to the leadership of Mayor Robert Reichert, the United Way of Central Georgia (our Community Quarterback at the time) and MHA/In-Fill Housing (the Community Based Developer).  The 2017 Community Transformation Plan not only identified existing barriers to available resources but it has also led to the creation of several new initiatives as a direct result of the Plan’s development.  There were many creative responses where old problems met new opportunities including:  a) a Healthy Housing Initiative,  b) a “Leader in Me” program established for the Defined Neighborhood’s Elementary School and funded by a local family foundation, c) an Innovative Project Concept developed by Mercer University, targeting at-risk middle school kids and focusing on mentoring and whole-family financial literacy where the Bibb County School District, the Mid-South Federal Credit Union and Operation HOPE are major partners, d) a United Way-sponsored 211 Program, and so much more as described in the 2017 Community Transformation Plan.  
Since last year’s Tindall Fields II (DCA 17-028) is the second of three Tindall family phases, we have both “reached back” to include the Tindall Fields I (DCA 16-043) residents and we are “reaching forward” this year with Tindall Fields III, as well.  Including both Tindall Fields I and Tindall Fields III as part of the Transformation Plan is not genius on our part, its simple common sense. It in effect gives our various new initiatives a one year head start compared to other 2017 projects, since DCA will see our results from these new initiatives one year earlier than expected with the inclusion of Tindall Fields I.  Therefore, with three Tindall Fields developments, DCA will see both earlier results and program data for a longer period of time when compared to more typical community transformation projects.  
For Scoring Section A.4, we have received two new and significant funding commitments in full compliance with the DCA requirements for a Community Improvement Fund. First, the Community Foundation of Central Georgia has pledged $50,000 in scholarships to the future residents of Tindall Fields III and the Defined Neighborhood. This is an incredibly significant new contribution that speaks volumes about the community’s belief that what is taking place at Tindall is exciting and worth supporting. Second, we have a $5,000 commitment from the Middle Georgia State University Foundation that will also be earmarked for college scholarships for those aspiring students from the Defined Neighborhood.  Please see Tab 33-04-01 through 33-04-03.
IX.A.2.a):  Please note that although the Transformation Community Certificate at II.2.B requests philanthropic activity between 5/25/14 and 5/23/18, we have provided information from 5/25/15 through 5/23/18, as required by the QAP, Scoring Page 26, under “Philanthropic Activities”, the second bulleted item. 
For Scoring Section B, Community Quarterback Board,  our Community Quarterback Board exceeds all of the DCA requirements.  Please see Tab 33-05-05 which documents that 1/3 of the CQB members represent the low income cohort, while another 1/3 of the CQB members represent local government. Furthermore, this Board has already had its inaugural meeting and the minutes of that meeting along with meeting handouts, Agenda, sign-in sheet, and photos are all included at Tab 33-05-05. To carry the football analogy just a bit further, the Community Quarterback Board is already moving the ball downfield!
</v>
      </c>
      <c r="G1588" s="1941"/>
      <c r="H1588" s="1941"/>
      <c r="I1588" s="1941"/>
      <c r="J1588" s="1941"/>
      <c r="K1588" s="1941"/>
      <c r="L1588" s="1941"/>
      <c r="M1588" s="1941"/>
      <c r="N1588" s="1941"/>
      <c r="O1588" s="1841">
        <f>'Part IX A-Scoring Criteria'!O34</f>
        <v>0</v>
      </c>
      <c r="P1588" s="1841">
        <f>'Part IX A-Scoring Criteria'!P34</f>
        <v>0</v>
      </c>
      <c r="Q1588" s="1799">
        <f>'Part IX A-Scoring Criteria'!Q34</f>
        <v>0</v>
      </c>
      <c r="R1588" s="1799">
        <f>'Part IX A-Scoring Criteria'!R34</f>
        <v>0</v>
      </c>
      <c r="S1588" s="1799">
        <f>'Part IX A-Scoring Criteria'!S34</f>
        <v>0</v>
      </c>
      <c r="T1588" s="1629"/>
      <c r="U1588" s="1629"/>
      <c r="V1588" s="1629"/>
      <c r="W1588" s="1629"/>
      <c r="X1588" s="1629"/>
      <c r="Y1588" s="1629"/>
      <c r="Z1588" s="1629"/>
    </row>
    <row r="1589" spans="1:26" ht="12.75" customHeight="1">
      <c r="A1589" s="2036" t="s">
        <v>365</v>
      </c>
      <c r="B1589" s="2037" t="s">
        <v>3818</v>
      </c>
      <c r="C1589" s="1707"/>
      <c r="D1589" s="1707"/>
      <c r="E1589" s="2038">
        <f>'Part IX A-Scoring Criteria'!E35</f>
        <v>0</v>
      </c>
      <c r="F1589" s="1941" t="str">
        <f>'Part IX A-Scoring Criteria'!F35</f>
        <v>Community Designations is N/A</v>
      </c>
      <c r="G1589" s="1941"/>
      <c r="H1589" s="1941"/>
      <c r="I1589" s="1941"/>
      <c r="J1589" s="1941"/>
      <c r="K1589" s="1941"/>
      <c r="L1589" s="1941"/>
      <c r="M1589" s="1941"/>
      <c r="N1589" s="1941"/>
      <c r="O1589" s="1841">
        <f>'Part IX A-Scoring Criteria'!O35</f>
        <v>0</v>
      </c>
      <c r="P1589" s="1841">
        <f>'Part IX A-Scoring Criteria'!P35</f>
        <v>0</v>
      </c>
      <c r="Q1589" s="1799">
        <f>'Part IX A-Scoring Criteria'!Q35</f>
        <v>0</v>
      </c>
      <c r="R1589" s="1799">
        <f>'Part IX A-Scoring Criteria'!R35</f>
        <v>0</v>
      </c>
      <c r="S1589" s="1799">
        <f>'Part IX A-Scoring Criteria'!S35</f>
        <v>0</v>
      </c>
      <c r="T1589" s="1629"/>
      <c r="U1589" s="1629"/>
      <c r="V1589" s="1629"/>
      <c r="W1589" s="1629"/>
      <c r="X1589" s="1629"/>
      <c r="Y1589" s="1629"/>
      <c r="Z1589" s="1629"/>
    </row>
    <row r="1590" spans="1:26" ht="12.75" customHeight="1">
      <c r="A1590" s="2036" t="s">
        <v>2267</v>
      </c>
      <c r="B1590" s="2037" t="s">
        <v>4203</v>
      </c>
      <c r="C1590" s="1707"/>
      <c r="D1590" s="1707"/>
      <c r="E1590" s="2039">
        <f>'Part IX A-Scoring Criteria'!E36</f>
        <v>1</v>
      </c>
      <c r="F1590" s="1941" t="str">
        <f>'Part IX A-Scoring Criteria'!F36</f>
        <v>We hereby request this point per the 2018 QAP provisions.  We are claiming this point for Tindall Fields III only, since this is the only application submitted by the project team in 2018.</v>
      </c>
      <c r="G1590" s="1941"/>
      <c r="H1590" s="1941"/>
      <c r="I1590" s="1941"/>
      <c r="J1590" s="1941"/>
      <c r="K1590" s="1941"/>
      <c r="L1590" s="1941"/>
      <c r="M1590" s="1941"/>
      <c r="N1590" s="1941"/>
      <c r="O1590" s="1841">
        <f>'Part IX A-Scoring Criteria'!O36</f>
        <v>0</v>
      </c>
      <c r="P1590" s="1841">
        <f>'Part IX A-Scoring Criteria'!P36</f>
        <v>0</v>
      </c>
      <c r="Q1590" s="1799">
        <f>'Part IX A-Scoring Criteria'!Q36</f>
        <v>0</v>
      </c>
      <c r="R1590" s="1799">
        <f>'Part IX A-Scoring Criteria'!R36</f>
        <v>0</v>
      </c>
      <c r="S1590" s="1799">
        <f>'Part IX A-Scoring Criteria'!S36</f>
        <v>0</v>
      </c>
      <c r="T1590" s="1629"/>
      <c r="U1590" s="1629"/>
      <c r="V1590" s="1629"/>
      <c r="W1590" s="1629"/>
      <c r="X1590" s="1629"/>
      <c r="Y1590" s="1629"/>
      <c r="Z1590" s="1629"/>
    </row>
    <row r="1591" spans="1:26" ht="12.75" customHeight="1">
      <c r="A1591" s="2036" t="s">
        <v>4515</v>
      </c>
      <c r="B1591" s="2037" t="s">
        <v>4516</v>
      </c>
      <c r="C1591" s="1707"/>
      <c r="D1591" s="1707"/>
      <c r="E1591" s="2039">
        <f>'Part IX A-Scoring Criteria'!E37</f>
        <v>3</v>
      </c>
      <c r="F1591" s="1941" t="str">
        <f>'Part IX A-Scoring Criteria'!F37</f>
        <v xml:space="preserve">Tindall Fields III qualifies for the maximum 3 points for this scoring section because Tindall Fields III is part of a phased development.  There’s no hiding the fact that Tindall Fields III is the fourth and final phase of the Tindall redevelopment plan; please see Tab 36-01 documenting this. This means that we cannot qualify for points under QAP scoring section XII.A since, per that section of the 2018 QAP, “…only the second and third phase of a project may receive these points.” However, QAP scoring section XII.B on page 34 exempts PHA-sponsored developments by stating that “the following developments are not included in the analysis of previous completive funding cycles: phased public housing development properties.”  
Tab 36-02 has been expanded to document that Tindall Fields III is part of a phased public housing redevelopment, and we therefore qualify for points under scoring section XII.B, page 34.  The following documentation is provided to show that Tindall Fields III is part of a phased development:  Tab 36-02-01, HUD’s approval of MHA’s Demo-Dispo Plan, showing that MHA has site control for the entire Tindall site; and Tab 36-02-02, MHA and In-Fill Housing II entered into Options to ground lease Phases II-IV in 2016.
</v>
      </c>
      <c r="G1591" s="1941"/>
      <c r="H1591" s="1941"/>
      <c r="I1591" s="1941"/>
      <c r="J1591" s="1941"/>
      <c r="K1591" s="1941"/>
      <c r="L1591" s="1941"/>
      <c r="M1591" s="1941"/>
      <c r="N1591" s="1941"/>
      <c r="O1591" s="1841">
        <f>'Part IX A-Scoring Criteria'!O37</f>
        <v>0</v>
      </c>
      <c r="P1591" s="1841">
        <f>'Part IX A-Scoring Criteria'!P37</f>
        <v>0</v>
      </c>
      <c r="Q1591" s="1799">
        <f>'Part IX A-Scoring Criteria'!Q37</f>
        <v>0</v>
      </c>
      <c r="R1591" s="1799">
        <f>'Part IX A-Scoring Criteria'!R37</f>
        <v>0</v>
      </c>
      <c r="S1591" s="1799">
        <f>'Part IX A-Scoring Criteria'!S37</f>
        <v>0</v>
      </c>
      <c r="T1591" s="1629"/>
      <c r="U1591" s="1629"/>
      <c r="V1591" s="1629"/>
      <c r="W1591" s="1629"/>
      <c r="X1591" s="1629"/>
      <c r="Y1591" s="1629"/>
      <c r="Z1591" s="1629"/>
    </row>
    <row r="1592" spans="1:26" ht="12.75" customHeight="1">
      <c r="A1592" s="2036" t="s">
        <v>4149</v>
      </c>
      <c r="B1592" s="2037" t="s">
        <v>4204</v>
      </c>
      <c r="C1592" s="1707"/>
      <c r="D1592" s="1707"/>
      <c r="E1592" s="2038">
        <f>'Part IX A-Scoring Criteria'!E38</f>
        <v>0</v>
      </c>
      <c r="F1592" s="1941" t="str">
        <f>'Part IX A-Scoring Criteria'!F38</f>
        <v>This Tab is N/A.</v>
      </c>
      <c r="G1592" s="1941"/>
      <c r="H1592" s="1941"/>
      <c r="I1592" s="1941"/>
      <c r="J1592" s="1941"/>
      <c r="K1592" s="1941"/>
      <c r="L1592" s="1941"/>
      <c r="M1592" s="1941"/>
      <c r="N1592" s="1941"/>
      <c r="O1592" s="1841">
        <f>'Part IX A-Scoring Criteria'!O38</f>
        <v>0</v>
      </c>
      <c r="P1592" s="1841">
        <f>'Part IX A-Scoring Criteria'!P38</f>
        <v>0</v>
      </c>
      <c r="Q1592" s="1799">
        <f>'Part IX A-Scoring Criteria'!Q38</f>
        <v>0</v>
      </c>
      <c r="R1592" s="1799">
        <f>'Part IX A-Scoring Criteria'!R38</f>
        <v>0</v>
      </c>
      <c r="S1592" s="1799">
        <f>'Part IX A-Scoring Criteria'!S38</f>
        <v>0</v>
      </c>
      <c r="T1592" s="1629"/>
      <c r="U1592" s="1629"/>
      <c r="V1592" s="1629"/>
      <c r="W1592" s="1629"/>
      <c r="X1592" s="1629"/>
      <c r="Y1592" s="1629"/>
      <c r="Z1592" s="1629"/>
    </row>
    <row r="1593" spans="1:26" ht="12.75" customHeight="1">
      <c r="A1593" s="2036" t="s">
        <v>4150</v>
      </c>
      <c r="B1593" s="2037" t="s">
        <v>4205</v>
      </c>
      <c r="C1593" s="1707"/>
      <c r="D1593" s="1707"/>
      <c r="E1593" s="2038">
        <f>'Part IX A-Scoring Criteria'!E39</f>
        <v>4</v>
      </c>
      <c r="F1593" s="1941" t="str">
        <f>'Part IX A-Scoring Criteria'!F39</f>
        <v>Tindall Fields III qualifies for the maximum points for this scoring section for both Sections A and B.  For Section XVII. A, Tindall Fields III qualifies for the maximum points because we have a loan from Macon-Bibb County and its Urban Development Authority in the amount of $1,400,000.  Our total qualifying sources therefore exceed 10% of our TDC. The appropriate financing documents and related material are all found at Tab 40-01-01; this documentation shows that this Macon-Bibb County loan is in full compliance with QAP Scoring section XVII. 
For Section XVII. B,  Tindall Fields III qualifies for the points for this section because we have an executed Option to Ground Lease from the Macon-Bibb Housing Authority.  These ground lease documents are found at Tab 08-01 and Tab 40-02-01.  This Option is in full compliance with the DCA requirements in QAP Scoring Section XVII.B.</v>
      </c>
      <c r="G1593" s="1941"/>
      <c r="H1593" s="1941"/>
      <c r="I1593" s="1941"/>
      <c r="J1593" s="1941"/>
      <c r="K1593" s="1941"/>
      <c r="L1593" s="1941"/>
      <c r="M1593" s="1941"/>
      <c r="N1593" s="1941"/>
      <c r="O1593" s="1841">
        <f>'Part IX A-Scoring Criteria'!O39</f>
        <v>0</v>
      </c>
      <c r="P1593" s="1841">
        <f>'Part IX A-Scoring Criteria'!P39</f>
        <v>0</v>
      </c>
      <c r="Q1593" s="1799">
        <f>'Part IX A-Scoring Criteria'!Q39</f>
        <v>0</v>
      </c>
      <c r="R1593" s="1799">
        <f>'Part IX A-Scoring Criteria'!R39</f>
        <v>0</v>
      </c>
      <c r="S1593" s="1799">
        <f>'Part IX A-Scoring Criteria'!S39</f>
        <v>0</v>
      </c>
      <c r="T1593" s="1629"/>
      <c r="U1593" s="1629"/>
      <c r="V1593" s="1629"/>
      <c r="W1593" s="1629"/>
      <c r="X1593" s="1629"/>
      <c r="Y1593" s="1629"/>
      <c r="Z1593" s="1629"/>
    </row>
    <row r="1594" spans="1:26" ht="12.75" customHeight="1">
      <c r="A1594" s="2036" t="s">
        <v>4148</v>
      </c>
      <c r="B1594" s="2037" t="s">
        <v>4206</v>
      </c>
      <c r="C1594" s="1707"/>
      <c r="D1594" s="1707"/>
      <c r="E1594" s="2038">
        <f>'Part IX A-Scoring Criteria'!E40</f>
        <v>3</v>
      </c>
      <c r="F1594" s="1941" t="str">
        <f>'Part IX A-Scoring Criteria'!F40</f>
        <v xml:space="preserve">Tindall Fields III qualifies for the maximum points for the following reasons.  First, we have a Section 8 PBRA commitment from MHA for 25 Section 8 Project Based Vouchers for 20 years (38% of the 65 total units). Please see Tabs 01-03-01, Tab 26-01, and Tab 41-01 for this documentation. Second, the Owner/Developer team has also agreed to allocate a minimum of 15% of the total units for the targeted population preference in accordance with the DCA requirements for this section.  Third, in 2015, the MHA Board of Commissioners adopted a “landmark” admissions preference in accordance with DCA requirements where MHA will accept referrals from Georgia DBHDD for the highest admissions preference possible for a Section 8 program preference. In 2015 MHA submitted the required letter to HUD pursuant to DCA’s guidance at that year’s “Housing Finance and Development Update # 39”. Following that, HUD Fair Housing approved MHA’s admissions preference and by letter dated June 8, 2016 MHA now has all final HUD approvals needed to implement this Section 8 admissions preference. All of this information is found at Tab 41-02. 
Furthermore, although this Tab doesn’t require us to have MOAs with local service providers, we have obtained two:  one from the River Edge Behavioral Health Center and another one from Disability Connections. Please see Tab 41-02-02 and 41-02-03 for this supporting documentation. 
Clearly, In-Fill Housing has fully embraced the underlying philosophy of Integrated Supportive Housing, and Tindall Fields III will be fully-compliant with the DCA requirements for the Target Population Preference.   
</v>
      </c>
      <c r="G1594" s="1941"/>
      <c r="H1594" s="1941"/>
      <c r="I1594" s="1941"/>
      <c r="J1594" s="1941"/>
      <c r="K1594" s="1941"/>
      <c r="L1594" s="1941"/>
      <c r="M1594" s="1941"/>
      <c r="N1594" s="1941"/>
      <c r="O1594" s="1841">
        <f>'Part IX A-Scoring Criteria'!O40</f>
        <v>0</v>
      </c>
      <c r="P1594" s="1841">
        <f>'Part IX A-Scoring Criteria'!P40</f>
        <v>0</v>
      </c>
      <c r="Q1594" s="1799">
        <f>'Part IX A-Scoring Criteria'!Q40</f>
        <v>0</v>
      </c>
      <c r="R1594" s="1799">
        <f>'Part IX A-Scoring Criteria'!R40</f>
        <v>0</v>
      </c>
      <c r="S1594" s="1799">
        <f>'Part IX A-Scoring Criteria'!S40</f>
        <v>0</v>
      </c>
      <c r="T1594" s="1629"/>
      <c r="U1594" s="1629"/>
      <c r="V1594" s="1629"/>
      <c r="W1594" s="1629"/>
      <c r="X1594" s="1629"/>
      <c r="Y1594" s="1629"/>
      <c r="Z1594" s="1629"/>
    </row>
    <row r="1595" spans="1:26" ht="12.75" customHeight="1">
      <c r="A1595" s="2036" t="s">
        <v>4151</v>
      </c>
      <c r="B1595" s="2037" t="s">
        <v>4207</v>
      </c>
      <c r="C1595" s="1707"/>
      <c r="D1595" s="1707"/>
      <c r="E1595" s="2039">
        <f>'Part IX A-Scoring Criteria'!E41</f>
        <v>0</v>
      </c>
      <c r="F1595" s="1941" t="str">
        <f>'Part IX A-Scoring Criteria'!F41</f>
        <v>N/A</v>
      </c>
      <c r="G1595" s="1941"/>
      <c r="H1595" s="1941"/>
      <c r="I1595" s="1941"/>
      <c r="J1595" s="1941"/>
      <c r="K1595" s="1941"/>
      <c r="L1595" s="1941"/>
      <c r="M1595" s="1941"/>
      <c r="N1595" s="1941"/>
      <c r="O1595" s="1841">
        <f>'Part IX A-Scoring Criteria'!O41</f>
        <v>0</v>
      </c>
      <c r="P1595" s="1841">
        <f>'Part IX A-Scoring Criteria'!P41</f>
        <v>0</v>
      </c>
      <c r="Q1595" s="1799">
        <f>'Part IX A-Scoring Criteria'!Q41</f>
        <v>0</v>
      </c>
      <c r="R1595" s="1799">
        <f>'Part IX A-Scoring Criteria'!R41</f>
        <v>0</v>
      </c>
      <c r="S1595" s="1799">
        <f>'Part IX A-Scoring Criteria'!S41</f>
        <v>0</v>
      </c>
      <c r="T1595" s="1629"/>
      <c r="U1595" s="1629"/>
      <c r="V1595" s="1629"/>
      <c r="W1595" s="1629"/>
      <c r="X1595" s="1629"/>
      <c r="Y1595" s="1629"/>
      <c r="Z1595" s="1629"/>
    </row>
    <row r="1596" spans="1:26" ht="15">
      <c r="A1596" s="2022"/>
      <c r="B1596" s="2022"/>
      <c r="C1596" s="2022"/>
      <c r="D1596" s="478"/>
      <c r="E1596" s="478"/>
      <c r="F1596" s="1837"/>
      <c r="G1596" s="1837"/>
      <c r="H1596" s="1837"/>
      <c r="I1596" s="1837"/>
      <c r="J1596" s="1872"/>
      <c r="K1596" s="1872"/>
      <c r="L1596" s="1872"/>
      <c r="M1596" s="1934"/>
      <c r="N1596" s="1837"/>
      <c r="O1596" s="1826"/>
      <c r="P1596" s="2021"/>
      <c r="Q1596" s="2022"/>
      <c r="R1596" s="2022"/>
      <c r="S1596" s="2022"/>
      <c r="T1596" s="2022"/>
      <c r="U1596" s="2022"/>
      <c r="V1596" s="2022"/>
      <c r="W1596" s="2022"/>
      <c r="X1596" s="2022"/>
      <c r="Y1596" s="2022"/>
      <c r="Z1596" s="2022"/>
    </row>
    <row r="1597" spans="1:26" ht="15">
      <c r="A1597" s="2023" t="s">
        <v>748</v>
      </c>
      <c r="B1597" s="2024" t="s">
        <v>3614</v>
      </c>
      <c r="C1597" s="2040"/>
      <c r="D1597" s="2040"/>
      <c r="E1597" s="478"/>
      <c r="F1597" s="2040"/>
      <c r="G1597" s="1933"/>
      <c r="H1597" s="478"/>
      <c r="I1597" s="2041" t="s">
        <v>3512</v>
      </c>
      <c r="J1597" s="2040"/>
      <c r="K1597" s="2040"/>
      <c r="L1597" s="2040"/>
      <c r="M1597" s="1837">
        <v>3</v>
      </c>
      <c r="N1597" s="1828"/>
      <c r="O1597" s="2021">
        <f>'Part IX A-Scoring Criteria'!O43</f>
        <v>3</v>
      </c>
      <c r="P1597" s="2021">
        <f>'Part IX A-Scoring Criteria'!P43</f>
        <v>0</v>
      </c>
      <c r="Q1597" s="1837" t="s">
        <v>443</v>
      </c>
      <c r="R1597" s="1985" t="str">
        <f>IF(OR($O1597=$M1597,$O1597=0,$O1597=""),"","* * Check Score! * *")</f>
        <v/>
      </c>
      <c r="S1597" s="2040"/>
      <c r="T1597" s="2040"/>
      <c r="U1597" s="2040"/>
      <c r="V1597" s="2040"/>
      <c r="W1597" s="2040"/>
      <c r="X1597" s="2040"/>
      <c r="Y1597" s="2040"/>
      <c r="Z1597" s="2040"/>
    </row>
    <row r="1598" spans="1:26" ht="15">
      <c r="A1598" s="2042"/>
      <c r="B1598" s="2043"/>
      <c r="C1598" s="2022"/>
      <c r="D1598" s="2022"/>
      <c r="E1598" s="478"/>
      <c r="F1598" s="2022"/>
      <c r="G1598" s="1894"/>
      <c r="H1598" s="478"/>
      <c r="I1598" s="2041"/>
      <c r="J1598" s="2022"/>
      <c r="K1598" s="1761"/>
      <c r="L1598" s="2044"/>
      <c r="M1598" s="1837"/>
      <c r="N1598" s="1828"/>
      <c r="O1598" s="2021"/>
      <c r="P1598" s="2021"/>
      <c r="Q1598" s="1837"/>
      <c r="R1598" s="1985"/>
      <c r="S1598" s="2022"/>
      <c r="T1598" s="2022"/>
      <c r="U1598" s="2022"/>
      <c r="V1598" s="2022"/>
      <c r="W1598" s="2022"/>
      <c r="X1598" s="2022"/>
      <c r="Y1598" s="2022"/>
      <c r="Z1598" s="2022"/>
    </row>
    <row r="1599" spans="1:26" ht="15" customHeight="1">
      <c r="A1599" s="1855" t="s">
        <v>1999</v>
      </c>
      <c r="B1599" s="2045" t="s">
        <v>2642</v>
      </c>
      <c r="C1599" s="2022"/>
      <c r="D1599" s="2022"/>
      <c r="E1599" s="478"/>
      <c r="F1599" s="2022"/>
      <c r="G1599" s="1894"/>
      <c r="H1599" s="1792" t="s">
        <v>3615</v>
      </c>
      <c r="I1599" s="1792"/>
      <c r="J1599" s="2044">
        <f>'Part VI-Revenues &amp; Expenses'!$O$60</f>
        <v>65</v>
      </c>
      <c r="K1599" s="2046"/>
      <c r="L1599" s="2022"/>
      <c r="M1599" s="1837"/>
      <c r="N1599" s="1828"/>
      <c r="O1599" s="2022"/>
      <c r="P1599" s="2022"/>
      <c r="Q1599" s="1828"/>
      <c r="R1599" s="1985"/>
      <c r="S1599" s="2022"/>
      <c r="T1599" s="2022"/>
      <c r="U1599" s="2022"/>
      <c r="V1599" s="2022"/>
      <c r="W1599" s="2022"/>
      <c r="X1599" s="2022"/>
      <c r="Y1599" s="2022"/>
      <c r="Z1599" s="2022"/>
    </row>
    <row r="1600" spans="1:26" ht="15" customHeight="1">
      <c r="A1600" s="1855"/>
      <c r="B1600" s="1792" t="s">
        <v>3616</v>
      </c>
      <c r="C1600" s="1792"/>
      <c r="D1600" s="1792"/>
      <c r="E1600" s="1792"/>
      <c r="F1600" s="1792"/>
      <c r="G1600" s="1978"/>
      <c r="H1600" s="2047" t="s">
        <v>3617</v>
      </c>
      <c r="I1600" s="2047" t="s">
        <v>3618</v>
      </c>
      <c r="J1600" s="1978"/>
      <c r="K1600" s="478" t="s">
        <v>3395</v>
      </c>
      <c r="L1600" s="478"/>
      <c r="M1600" s="1837"/>
      <c r="N1600" s="1828"/>
      <c r="O1600" s="2040"/>
      <c r="P1600" s="2040"/>
      <c r="Q1600" s="1828"/>
      <c r="R1600" s="1985"/>
      <c r="S1600" s="2040"/>
      <c r="T1600" s="2040"/>
      <c r="U1600" s="2040"/>
      <c r="V1600" s="2040"/>
      <c r="W1600" s="2040"/>
      <c r="X1600" s="2040"/>
      <c r="Y1600" s="2040"/>
      <c r="Z1600" s="2040"/>
    </row>
    <row r="1601" spans="1:26" ht="15" customHeight="1">
      <c r="A1601" s="2040"/>
      <c r="B1601" s="1792"/>
      <c r="C1601" s="1792"/>
      <c r="D1601" s="1792"/>
      <c r="E1601" s="1792"/>
      <c r="F1601" s="1792"/>
      <c r="G1601" s="1901" t="s">
        <v>3742</v>
      </c>
      <c r="H1601" s="1901"/>
      <c r="I1601" s="1901"/>
      <c r="J1601" s="1901"/>
      <c r="K1601" s="1767" t="s">
        <v>3617</v>
      </c>
      <c r="L1601" s="1767" t="s">
        <v>3618</v>
      </c>
      <c r="M1601" s="1836">
        <v>2</v>
      </c>
      <c r="N1601" s="2048" t="s">
        <v>1999</v>
      </c>
      <c r="O1601" s="2049">
        <f>'Part IX A-Scoring Criteria'!O47</f>
        <v>0</v>
      </c>
      <c r="P1601" s="2049">
        <f>'Part IX A-Scoring Criteria'!P47</f>
        <v>0</v>
      </c>
      <c r="Q1601" s="2040"/>
      <c r="R1601" s="2040"/>
      <c r="S1601" s="2040"/>
      <c r="T1601" s="2040"/>
      <c r="U1601" s="2040"/>
      <c r="V1601" s="2040"/>
      <c r="W1601" s="2040"/>
      <c r="X1601" s="2040"/>
      <c r="Y1601" s="2040"/>
      <c r="Z1601" s="2040"/>
    </row>
    <row r="1602" spans="1:26" ht="15">
      <c r="A1602" s="2050"/>
      <c r="B1602" s="2051" t="s">
        <v>2002</v>
      </c>
      <c r="C1602" s="2052">
        <v>0.15</v>
      </c>
      <c r="D1602" s="1961" t="s">
        <v>3394</v>
      </c>
      <c r="E1602" s="2053"/>
      <c r="F1602" s="2053"/>
      <c r="G1602" s="2053"/>
      <c r="H1602" s="2054">
        <f>'Part IX A-Scoring Criteria'!H48</f>
        <v>0</v>
      </c>
      <c r="I1602" s="2054">
        <f>'Part IX A-Scoring Criteria'!I48</f>
        <v>0</v>
      </c>
      <c r="J1602" s="2053"/>
      <c r="K1602" s="1983">
        <f>'Part IX A-Scoring Criteria'!K48</f>
        <v>0</v>
      </c>
      <c r="L1602" s="1983">
        <f>'Part IX A-Scoring Criteria'!L48</f>
        <v>0</v>
      </c>
      <c r="M1602" s="1831">
        <v>1</v>
      </c>
      <c r="N1602" s="2048" t="s">
        <v>2002</v>
      </c>
      <c r="O1602" s="2049">
        <f>'Part IX A-Scoring Criteria'!O48</f>
        <v>0</v>
      </c>
      <c r="P1602" s="2049">
        <f>'Part IX A-Scoring Criteria'!P48</f>
        <v>0</v>
      </c>
      <c r="Q1602" s="2053"/>
      <c r="R1602" s="2053"/>
      <c r="S1602" s="2053"/>
      <c r="T1602" s="2053"/>
      <c r="U1602" s="2053"/>
      <c r="V1602" s="2053"/>
      <c r="W1602" s="2053"/>
      <c r="X1602" s="2053"/>
      <c r="Y1602" s="2053"/>
      <c r="Z1602" s="2053"/>
    </row>
    <row r="1603" spans="1:26" ht="15">
      <c r="A1603" s="1942" t="s">
        <v>3365</v>
      </c>
      <c r="B1603" s="2051" t="s">
        <v>2004</v>
      </c>
      <c r="C1603" s="2052">
        <v>0.2</v>
      </c>
      <c r="D1603" s="1961" t="s">
        <v>3394</v>
      </c>
      <c r="E1603" s="2053"/>
      <c r="F1603" s="2053"/>
      <c r="G1603" s="2053"/>
      <c r="H1603" s="2054">
        <f>'Part IX A-Scoring Criteria'!H49</f>
        <v>0</v>
      </c>
      <c r="I1603" s="2054">
        <f>'Part IX A-Scoring Criteria'!I49</f>
        <v>0</v>
      </c>
      <c r="J1603" s="2053"/>
      <c r="K1603" s="1983">
        <f>'Part IX A-Scoring Criteria'!K49</f>
        <v>0</v>
      </c>
      <c r="L1603" s="1983">
        <f>'Part IX A-Scoring Criteria'!L49</f>
        <v>0</v>
      </c>
      <c r="M1603" s="1831">
        <v>2</v>
      </c>
      <c r="N1603" s="2048" t="s">
        <v>2004</v>
      </c>
      <c r="O1603" s="2049">
        <f>'Part IX A-Scoring Criteria'!O49</f>
        <v>0</v>
      </c>
      <c r="P1603" s="2049">
        <f>'Part IX A-Scoring Criteria'!P49</f>
        <v>0</v>
      </c>
      <c r="Q1603" s="2053"/>
      <c r="R1603" s="2053"/>
      <c r="S1603" s="2053"/>
      <c r="T1603" s="2053"/>
      <c r="U1603" s="2053"/>
      <c r="V1603" s="2053"/>
      <c r="W1603" s="2053"/>
      <c r="X1603" s="2053"/>
      <c r="Y1603" s="2053"/>
      <c r="Z1603" s="2053"/>
    </row>
    <row r="1604" spans="1:26" ht="15">
      <c r="A1604" s="1942"/>
      <c r="B1604" s="2051"/>
      <c r="C1604" s="2052"/>
      <c r="D1604" s="1961"/>
      <c r="E1604" s="2053"/>
      <c r="F1604" s="2053"/>
      <c r="G1604" s="2053"/>
      <c r="H1604" s="2053"/>
      <c r="I1604" s="2053"/>
      <c r="J1604" s="2053"/>
      <c r="K1604" s="1983"/>
      <c r="L1604" s="1983"/>
      <c r="M1604" s="1831"/>
      <c r="N1604" s="2048"/>
      <c r="O1604" s="2049"/>
      <c r="P1604" s="2049"/>
      <c r="Q1604" s="2053"/>
      <c r="R1604" s="2053"/>
      <c r="S1604" s="2053"/>
      <c r="T1604" s="2053"/>
      <c r="U1604" s="2053"/>
      <c r="V1604" s="2053"/>
      <c r="W1604" s="2053"/>
      <c r="X1604" s="2053"/>
      <c r="Y1604" s="2053"/>
      <c r="Z1604" s="2053"/>
    </row>
    <row r="1605" spans="1:26" ht="15" customHeight="1">
      <c r="A1605" s="1855" t="s">
        <v>2001</v>
      </c>
      <c r="B1605" s="2045" t="s">
        <v>4806</v>
      </c>
      <c r="C1605" s="2053"/>
      <c r="D1605" s="2053"/>
      <c r="E1605" s="1999"/>
      <c r="F1605" s="2053"/>
      <c r="G1605" s="2053"/>
      <c r="H1605" s="1901" t="s">
        <v>3679</v>
      </c>
      <c r="I1605" s="1901"/>
      <c r="J1605" s="2053"/>
      <c r="K1605" s="2053"/>
      <c r="L1605" s="2053"/>
      <c r="M1605" s="1836">
        <v>3</v>
      </c>
      <c r="N1605" s="1987" t="s">
        <v>2001</v>
      </c>
      <c r="O1605" s="2049">
        <f>'Part IX A-Scoring Criteria'!O51</f>
        <v>3</v>
      </c>
      <c r="P1605" s="2049">
        <f>'Part IX A-Scoring Criteria'!P51</f>
        <v>0</v>
      </c>
      <c r="Q1605" s="2053"/>
      <c r="R1605" s="2053"/>
      <c r="S1605" s="2053"/>
      <c r="T1605" s="2053"/>
      <c r="U1605" s="2053"/>
      <c r="V1605" s="2053"/>
      <c r="W1605" s="2053"/>
      <c r="X1605" s="2053"/>
      <c r="Y1605" s="2053"/>
      <c r="Z1605" s="2053"/>
    </row>
    <row r="1606" spans="1:26" ht="15">
      <c r="A1606" s="2050"/>
      <c r="B1606" s="2051" t="s">
        <v>2002</v>
      </c>
      <c r="C1606" s="2052">
        <v>0.3</v>
      </c>
      <c r="D1606" s="1961" t="s">
        <v>3678</v>
      </c>
      <c r="E1606" s="1999"/>
      <c r="F1606" s="2010"/>
      <c r="G1606" s="2053"/>
      <c r="H1606" s="2054">
        <f>'Part IX A-Scoring Criteria'!H52</f>
        <v>25</v>
      </c>
      <c r="I1606" s="2054">
        <f>'Part IX A-Scoring Criteria'!I52</f>
        <v>0</v>
      </c>
      <c r="J1606" s="2055"/>
      <c r="K1606" s="1983">
        <f>'Part IX A-Scoring Criteria'!K52</f>
        <v>0.38461538461538464</v>
      </c>
      <c r="L1606" s="1983">
        <f>'Part IX A-Scoring Criteria'!L52</f>
        <v>0</v>
      </c>
      <c r="M1606" s="1831"/>
      <c r="N1606" s="2048" t="s">
        <v>2002</v>
      </c>
      <c r="O1606" s="2049" t="str">
        <f>'Part IX A-Scoring Criteria'!O52</f>
        <v>Yes</v>
      </c>
      <c r="P1606" s="2049" t="str">
        <f>'Part IX A-Scoring Criteria'!P52</f>
        <v>No</v>
      </c>
      <c r="Q1606" s="2053"/>
      <c r="R1606" s="2053"/>
      <c r="S1606" s="2053"/>
      <c r="T1606" s="2053"/>
      <c r="U1606" s="2053"/>
      <c r="V1606" s="2053"/>
      <c r="W1606" s="2053"/>
      <c r="X1606" s="2053"/>
      <c r="Y1606" s="2053"/>
      <c r="Z1606" s="2053"/>
    </row>
    <row r="1607" spans="1:26" ht="15">
      <c r="A1607" s="1942"/>
      <c r="B1607" s="2051" t="s">
        <v>2004</v>
      </c>
      <c r="C1607" s="2010" t="s">
        <v>3991</v>
      </c>
      <c r="D1607" s="2053"/>
      <c r="E1607" s="2056"/>
      <c r="F1607" s="2010"/>
      <c r="G1607" s="2053"/>
      <c r="H1607" s="2053"/>
      <c r="I1607" s="2017"/>
      <c r="J1607" s="2017"/>
      <c r="K1607" s="2017"/>
      <c r="L1607" s="2017"/>
      <c r="M1607" s="2017"/>
      <c r="N1607" s="2048" t="s">
        <v>2004</v>
      </c>
      <c r="O1607" s="1942" t="str">
        <f>'Part IX A-Scoring Criteria'!O53</f>
        <v>Yes</v>
      </c>
      <c r="P1607" s="1942">
        <f>'Part IX A-Scoring Criteria'!P53</f>
        <v>0</v>
      </c>
      <c r="Q1607" s="2053"/>
      <c r="R1607" s="2053"/>
      <c r="S1607" s="2053"/>
      <c r="T1607" s="2053"/>
      <c r="U1607" s="2053"/>
      <c r="V1607" s="2053"/>
      <c r="W1607" s="2053"/>
      <c r="X1607" s="2053"/>
      <c r="Y1607" s="2053"/>
      <c r="Z1607" s="2053"/>
    </row>
    <row r="1608" spans="1:26" ht="15">
      <c r="A1608" s="1629"/>
      <c r="B1608" s="1900" t="s">
        <v>1880</v>
      </c>
      <c r="C1608" s="2053"/>
      <c r="D1608" s="1937"/>
      <c r="E1608" s="1939"/>
      <c r="F1608" s="1939"/>
      <c r="G1608" s="1939"/>
      <c r="H1608" s="1939"/>
      <c r="I1608" s="1939"/>
      <c r="J1608" s="1939"/>
      <c r="K1608" s="1939"/>
      <c r="L1608" s="1939"/>
      <c r="M1608" s="1939"/>
      <c r="N1608" s="2057"/>
      <c r="O1608" s="2028"/>
      <c r="P1608" s="1837"/>
      <c r="Q1608" s="2053"/>
      <c r="R1608" s="2022"/>
      <c r="S1608" s="2022"/>
      <c r="T1608" s="2022"/>
      <c r="U1608" s="2022"/>
      <c r="V1608" s="2022"/>
      <c r="W1608" s="2022"/>
      <c r="X1608" s="2022"/>
      <c r="Y1608" s="2022"/>
      <c r="Z1608" s="2022"/>
    </row>
    <row r="1609" spans="1:26" ht="15.75">
      <c r="A1609" s="1936">
        <f>'Part IX A-Scoring Criteria'!A55</f>
        <v>0</v>
      </c>
      <c r="B1609" s="1936">
        <f>'Part IX A-Scoring Criteria'!B55</f>
        <v>0</v>
      </c>
      <c r="C1609" s="1936">
        <f>'Part IX A-Scoring Criteria'!C55</f>
        <v>0</v>
      </c>
      <c r="D1609" s="1936">
        <f>'Part IX A-Scoring Criteria'!D55</f>
        <v>0</v>
      </c>
      <c r="E1609" s="1936">
        <f>'Part IX A-Scoring Criteria'!E55</f>
        <v>0</v>
      </c>
      <c r="F1609" s="1936">
        <f>'Part IX A-Scoring Criteria'!F55</f>
        <v>0</v>
      </c>
      <c r="G1609" s="1936">
        <f>'Part IX A-Scoring Criteria'!G55</f>
        <v>0</v>
      </c>
      <c r="H1609" s="1936">
        <f>'Part IX A-Scoring Criteria'!H55</f>
        <v>0</v>
      </c>
      <c r="I1609" s="1936">
        <f>'Part IX A-Scoring Criteria'!I55</f>
        <v>0</v>
      </c>
      <c r="J1609" s="1936">
        <f>'Part IX A-Scoring Criteria'!J55</f>
        <v>0</v>
      </c>
      <c r="K1609" s="1936">
        <f>'Part IX A-Scoring Criteria'!K55</f>
        <v>0</v>
      </c>
      <c r="L1609" s="1936">
        <f>'Part IX A-Scoring Criteria'!L55</f>
        <v>0</v>
      </c>
      <c r="M1609" s="1936">
        <f>'Part IX A-Scoring Criteria'!M55</f>
        <v>0</v>
      </c>
      <c r="N1609" s="1936">
        <f>'Part IX A-Scoring Criteria'!N55</f>
        <v>0</v>
      </c>
      <c r="O1609" s="1936">
        <f>'Part IX A-Scoring Criteria'!O55</f>
        <v>0</v>
      </c>
      <c r="P1609" s="1936">
        <f>'Part IX A-Scoring Criteria'!P55</f>
        <v>0</v>
      </c>
      <c r="Q1609" s="2030"/>
      <c r="R1609" s="2022"/>
      <c r="S1609" s="2022"/>
      <c r="T1609" s="2022"/>
      <c r="U1609" s="2022"/>
      <c r="V1609" s="2022"/>
      <c r="W1609" s="2022"/>
      <c r="X1609" s="2022"/>
      <c r="Y1609" s="2022"/>
      <c r="Z1609" s="2022"/>
    </row>
    <row r="1610" spans="1:26">
      <c r="N1610" s="1824"/>
      <c r="O1610" s="1826"/>
      <c r="P1610" s="1826"/>
    </row>
    <row r="1611" spans="1:26" ht="15.75" customHeight="1">
      <c r="A1611" s="2023" t="s">
        <v>750</v>
      </c>
      <c r="B1611" s="2024" t="s">
        <v>4144</v>
      </c>
      <c r="C1611" s="2022"/>
      <c r="D1611" s="2058"/>
      <c r="E1611" s="2022"/>
      <c r="F1611" s="2022"/>
      <c r="G1611" s="2022"/>
      <c r="H1611" s="2022"/>
      <c r="I1611" s="1792" t="s">
        <v>3795</v>
      </c>
      <c r="J1611" s="1792"/>
      <c r="K1611" s="1792"/>
      <c r="L1611" s="1792"/>
      <c r="M1611" s="1837">
        <v>10</v>
      </c>
      <c r="N1611" s="1977"/>
      <c r="O1611" s="2021">
        <f>'Part IX A-Scoring Criteria'!O57</f>
        <v>10</v>
      </c>
      <c r="P1611" s="2021">
        <f>'Part IX A-Scoring Criteria'!P57</f>
        <v>0</v>
      </c>
      <c r="Q1611" s="1837" t="s">
        <v>443</v>
      </c>
      <c r="R1611" s="2022"/>
      <c r="S1611" s="2022"/>
      <c r="T1611" s="2022"/>
      <c r="U1611" s="2022"/>
      <c r="V1611" s="2022"/>
      <c r="W1611" s="2022"/>
      <c r="X1611" s="2022"/>
      <c r="Y1611" s="2022"/>
      <c r="Z1611" s="2022"/>
    </row>
    <row r="1612" spans="1:26" ht="15">
      <c r="A1612" s="1629"/>
      <c r="B1612" s="2022"/>
      <c r="C1612" s="2022"/>
      <c r="D1612" s="478"/>
      <c r="E1612" s="478"/>
      <c r="F1612" s="1837"/>
      <c r="G1612" s="1837"/>
      <c r="H1612" s="1792"/>
      <c r="I1612" s="1792"/>
      <c r="J1612" s="1792"/>
      <c r="K1612" s="1792"/>
      <c r="L1612" s="1792"/>
      <c r="M1612" s="1934"/>
      <c r="N1612" s="1837"/>
      <c r="O1612" s="1826"/>
      <c r="P1612" s="2021"/>
      <c r="Q1612" s="2022"/>
      <c r="R1612" s="2022"/>
      <c r="S1612" s="2022"/>
      <c r="T1612" s="2022"/>
      <c r="U1612" s="2022"/>
      <c r="V1612" s="2022"/>
      <c r="W1612" s="2022"/>
      <c r="X1612" s="2022"/>
      <c r="Y1612" s="2022"/>
      <c r="Z1612" s="2022"/>
    </row>
    <row r="1613" spans="1:26" ht="15">
      <c r="A1613" s="1855"/>
      <c r="B1613" s="1156" t="s">
        <v>3884</v>
      </c>
      <c r="C1613" s="2022"/>
      <c r="D1613" s="1629"/>
      <c r="E1613" s="2022"/>
      <c r="F1613" s="2022"/>
      <c r="G1613" s="2022"/>
      <c r="H1613" s="2022"/>
      <c r="I1613" s="2022"/>
      <c r="J1613" s="2022"/>
      <c r="K1613" s="2022"/>
      <c r="L1613" s="2022"/>
      <c r="M1613" s="2022"/>
      <c r="N1613" s="1977"/>
      <c r="O1613" s="1942" t="str">
        <f>'Part IX A-Scoring Criteria'!O59</f>
        <v>Yes</v>
      </c>
      <c r="P1613" s="1942">
        <f>'Part IX A-Scoring Criteria'!P59</f>
        <v>0</v>
      </c>
      <c r="Q1613" s="2022"/>
      <c r="R1613" s="2022"/>
      <c r="S1613" s="2022"/>
      <c r="T1613" s="2022"/>
      <c r="U1613" s="2022"/>
      <c r="V1613" s="2022"/>
      <c r="W1613" s="2022"/>
      <c r="X1613" s="2022"/>
      <c r="Y1613" s="2022"/>
      <c r="Z1613" s="2022"/>
    </row>
    <row r="1614" spans="1:26" ht="15" customHeight="1">
      <c r="A1614" s="1855" t="s">
        <v>1999</v>
      </c>
      <c r="B1614" s="1844" t="s">
        <v>1888</v>
      </c>
      <c r="C1614" s="1818"/>
      <c r="D1614" s="1818"/>
      <c r="E1614" s="2022"/>
      <c r="F1614" s="1622"/>
      <c r="G1614" s="1631" t="s">
        <v>2736</v>
      </c>
      <c r="H1614" s="2022"/>
      <c r="I1614" s="1861" t="s">
        <v>4807</v>
      </c>
      <c r="J1614" s="1861"/>
      <c r="K1614" s="1861"/>
      <c r="L1614" s="1861"/>
      <c r="M1614" s="1828">
        <v>10</v>
      </c>
      <c r="N1614" s="2059" t="s">
        <v>1999</v>
      </c>
      <c r="O1614" s="2060">
        <f>'Part IX A-Scoring Criteria'!O60</f>
        <v>10</v>
      </c>
      <c r="P1614" s="2060">
        <f>'Part IX A-Scoring Criteria'!P60</f>
        <v>0</v>
      </c>
      <c r="Q1614" s="2061" t="str">
        <f>IF(OR($O1614=$M1614,$O1614=0,$O1614=""),"","*CHECK!*")</f>
        <v/>
      </c>
      <c r="R1614" s="2062" t="s">
        <v>2724</v>
      </c>
      <c r="S1614" s="2022"/>
      <c r="T1614" s="2022"/>
      <c r="U1614" s="2022"/>
      <c r="V1614" s="2022"/>
      <c r="W1614" s="2022"/>
      <c r="X1614" s="2022"/>
      <c r="Y1614" s="2022"/>
      <c r="Z1614" s="2022"/>
    </row>
    <row r="1615" spans="1:26" ht="16.5">
      <c r="A1615" s="1855" t="s">
        <v>2001</v>
      </c>
      <c r="B1615" s="1844" t="s">
        <v>3873</v>
      </c>
      <c r="C1615" s="2022"/>
      <c r="D1615" s="2058"/>
      <c r="E1615" s="2022"/>
      <c r="F1615" s="2063"/>
      <c r="G1615" s="1631" t="s">
        <v>4022</v>
      </c>
      <c r="H1615" s="2022"/>
      <c r="I1615" s="1861"/>
      <c r="J1615" s="1861"/>
      <c r="K1615" s="1861"/>
      <c r="L1615" s="1861"/>
      <c r="M1615" s="1934" t="s">
        <v>1250</v>
      </c>
      <c r="N1615" s="1977" t="s">
        <v>2001</v>
      </c>
      <c r="O1615" s="2060">
        <f>'Part IX A-Scoring Criteria'!O61</f>
        <v>0</v>
      </c>
      <c r="P1615" s="2060">
        <f>'Part IX A-Scoring Criteria'!P61</f>
        <v>0</v>
      </c>
      <c r="Q1615" s="2022"/>
      <c r="R1615" s="2062" t="s">
        <v>2724</v>
      </c>
      <c r="S1615" s="2022"/>
      <c r="T1615" s="2022"/>
      <c r="U1615" s="2022"/>
      <c r="V1615" s="2022"/>
      <c r="W1615" s="2022"/>
      <c r="X1615" s="2022"/>
      <c r="Y1615" s="2022"/>
      <c r="Z1615" s="2022"/>
    </row>
    <row r="1616" spans="1:26" ht="15">
      <c r="A1616" s="1629"/>
      <c r="B1616" s="2041" t="s">
        <v>3780</v>
      </c>
      <c r="C1616" s="1629"/>
      <c r="D1616" s="1830"/>
      <c r="E1616" s="1830"/>
      <c r="F1616" s="1830"/>
      <c r="G1616" s="1830"/>
      <c r="H1616" s="478"/>
      <c r="I1616" s="1861"/>
      <c r="J1616" s="1861"/>
      <c r="K1616" s="1861"/>
      <c r="L1616" s="1861"/>
      <c r="M1616" s="1828"/>
      <c r="N1616" s="1824"/>
      <c r="O1616" s="2021"/>
      <c r="P1616" s="1826"/>
      <c r="Q1616" s="2022"/>
      <c r="R1616" s="2022"/>
      <c r="S1616" s="2022"/>
      <c r="T1616" s="2022"/>
      <c r="U1616" s="2022"/>
      <c r="V1616" s="2022"/>
      <c r="W1616" s="2022"/>
      <c r="X1616" s="2022"/>
      <c r="Y1616" s="2022"/>
      <c r="Z1616" s="2022"/>
    </row>
    <row r="1617" spans="1:26" ht="409.5">
      <c r="A1617" s="1936" t="str">
        <f>'Part IX A-Scoring Criteria'!A63</f>
        <v xml:space="preserve">Tindall Fields III qualifies for the maximum points for this scoring section.  There are 3 desirable activities within a 1.5 mile driving or walking distance of Tindall Fields III that qualify for 1 point, and 5  desirable activities within a .5 mile driving or walking distance that qualify for 2 points.  Our A/E team determined the Geocoordinates for our planned site entrance located on Nussbaum Avenue which is indicated on both the desirable certification and site plan. We have also used the DCA required Google Maps to measure each distance to our selected desirable activities.
There is an older unoccupied residential dwelling directly across the street from the proposed Tindall Fields III Site Entrance (less than 0.25 miles). Although deteriorated in nature, it does not per the QAP, "detract from an area's physical appearance, diminish living conditions and/or safety of the neighborhood, and/or decrease the marketability of the proposed site" (Scoring Section, Pg 6). 
Our position is supported by the Novogradac market study, which confirmed that this property does not impact the Tindall Fields/neighborhood from a marketability standpoint when they state that, "During our site inspection, we observed a few vacant single-family homes in the Subject’s neighborhood. These vacant structures will not negatively impact the performance of the Subject. The Subject will be a compatible use within the immediate neighborhood" (See Tab 05-01, Novogradac Market Study, Page 3).
Furthermore, it is the Macon Housing Authority/In-Fill Housing’s goal to improve the community, and we’ve agreed to mitigate the property by demolishing the vacant dwelling on it. As the mitigation will be completed by the applicant as opposed to a third party, the structure will be removed by the placed-in-service date for the project. As part of our documentation, a copy of the "Demolition Agreement and Release" for the property, is included at Tab 27-04-01. We have also included a letter from the MHA/In-Fill Housing CEO that confirms that we have both the “site control” and the necessary funds to complete the mitigation, per Tab 27-04-02.
To summarize, we are not claiming an undesirable property, but we are making improvements to the property in question within the 0.25 mile radius in our continued effort to improve the Tindall Heights community. 
</v>
      </c>
      <c r="B1617" s="1936">
        <f>'Part IX A-Scoring Criteria'!B63</f>
        <v>0</v>
      </c>
      <c r="C1617" s="1936">
        <f>'Part IX A-Scoring Criteria'!C63</f>
        <v>0</v>
      </c>
      <c r="D1617" s="1936">
        <f>'Part IX A-Scoring Criteria'!D63</f>
        <v>0</v>
      </c>
      <c r="E1617" s="1936">
        <f>'Part IX A-Scoring Criteria'!E63</f>
        <v>0</v>
      </c>
      <c r="F1617" s="1936">
        <f>'Part IX A-Scoring Criteria'!F63</f>
        <v>0</v>
      </c>
      <c r="G1617" s="1936">
        <f>'Part IX A-Scoring Criteria'!G63</f>
        <v>0</v>
      </c>
      <c r="H1617" s="1936">
        <f>'Part IX A-Scoring Criteria'!H63</f>
        <v>0</v>
      </c>
      <c r="I1617" s="1936">
        <f>'Part IX A-Scoring Criteria'!I63</f>
        <v>0</v>
      </c>
      <c r="J1617" s="1936">
        <f>'Part IX A-Scoring Criteria'!J63</f>
        <v>0</v>
      </c>
      <c r="K1617" s="1936">
        <f>'Part IX A-Scoring Criteria'!K63</f>
        <v>0</v>
      </c>
      <c r="L1617" s="1936">
        <f>'Part IX A-Scoring Criteria'!L63</f>
        <v>0</v>
      </c>
      <c r="M1617" s="1936">
        <f>'Part IX A-Scoring Criteria'!M63</f>
        <v>0</v>
      </c>
      <c r="N1617" s="1936">
        <f>'Part IX A-Scoring Criteria'!N63</f>
        <v>0</v>
      </c>
      <c r="O1617" s="1936">
        <f>'Part IX A-Scoring Criteria'!O63</f>
        <v>0</v>
      </c>
      <c r="P1617" s="1936">
        <f>'Part IX A-Scoring Criteria'!P63</f>
        <v>0</v>
      </c>
      <c r="Q1617" s="2030"/>
      <c r="R1617" s="2030"/>
      <c r="S1617" s="2022"/>
      <c r="T1617" s="2022"/>
      <c r="U1617" s="2022"/>
      <c r="V1617" s="2022"/>
      <c r="W1617" s="2022"/>
      <c r="X1617" s="2022"/>
      <c r="Y1617" s="2022"/>
      <c r="Z1617" s="2022"/>
    </row>
    <row r="1618" spans="1:26" ht="15">
      <c r="A1618" s="1629"/>
      <c r="B1618" s="1900" t="s">
        <v>1880</v>
      </c>
      <c r="C1618" s="1629"/>
      <c r="D1618" s="1937"/>
      <c r="E1618" s="1939"/>
      <c r="F1618" s="1939"/>
      <c r="G1618" s="1939"/>
      <c r="H1618" s="1939"/>
      <c r="I1618" s="1939"/>
      <c r="J1618" s="1939"/>
      <c r="K1618" s="1939"/>
      <c r="L1618" s="1939"/>
      <c r="M1618" s="1939"/>
      <c r="N1618" s="2057"/>
      <c r="O1618" s="2028"/>
      <c r="P1618" s="1837"/>
      <c r="Q1618" s="2053"/>
      <c r="R1618" s="2053"/>
      <c r="S1618" s="2022"/>
      <c r="T1618" s="2022"/>
      <c r="U1618" s="2022"/>
      <c r="V1618" s="2022"/>
      <c r="W1618" s="2022"/>
      <c r="X1618" s="2022"/>
      <c r="Y1618" s="2022"/>
      <c r="Z1618" s="2022"/>
    </row>
    <row r="1619" spans="1:26" ht="15.75">
      <c r="A1619" s="1936">
        <f>'Part IX A-Scoring Criteria'!A65</f>
        <v>0</v>
      </c>
      <c r="B1619" s="1936">
        <f>'Part IX A-Scoring Criteria'!B65</f>
        <v>0</v>
      </c>
      <c r="C1619" s="1936">
        <f>'Part IX A-Scoring Criteria'!C65</f>
        <v>0</v>
      </c>
      <c r="D1619" s="1936">
        <f>'Part IX A-Scoring Criteria'!D65</f>
        <v>0</v>
      </c>
      <c r="E1619" s="1936">
        <f>'Part IX A-Scoring Criteria'!E65</f>
        <v>0</v>
      </c>
      <c r="F1619" s="1936">
        <f>'Part IX A-Scoring Criteria'!F65</f>
        <v>0</v>
      </c>
      <c r="G1619" s="1936">
        <f>'Part IX A-Scoring Criteria'!G65</f>
        <v>0</v>
      </c>
      <c r="H1619" s="1936">
        <f>'Part IX A-Scoring Criteria'!H65</f>
        <v>0</v>
      </c>
      <c r="I1619" s="1936">
        <f>'Part IX A-Scoring Criteria'!I65</f>
        <v>0</v>
      </c>
      <c r="J1619" s="1936">
        <f>'Part IX A-Scoring Criteria'!J65</f>
        <v>0</v>
      </c>
      <c r="K1619" s="1936">
        <f>'Part IX A-Scoring Criteria'!K65</f>
        <v>0</v>
      </c>
      <c r="L1619" s="1936">
        <f>'Part IX A-Scoring Criteria'!L65</f>
        <v>0</v>
      </c>
      <c r="M1619" s="1936">
        <f>'Part IX A-Scoring Criteria'!M65</f>
        <v>0</v>
      </c>
      <c r="N1619" s="1936">
        <f>'Part IX A-Scoring Criteria'!N65</f>
        <v>0</v>
      </c>
      <c r="O1619" s="1936">
        <f>'Part IX A-Scoring Criteria'!O65</f>
        <v>0</v>
      </c>
      <c r="P1619" s="1936">
        <f>'Part IX A-Scoring Criteria'!P65</f>
        <v>0</v>
      </c>
      <c r="Q1619" s="2030"/>
      <c r="R1619" s="2030"/>
      <c r="S1619" s="2022"/>
      <c r="T1619" s="2022"/>
      <c r="U1619" s="2022"/>
      <c r="V1619" s="2022"/>
      <c r="W1619" s="2022"/>
      <c r="X1619" s="2022"/>
      <c r="Y1619" s="2022"/>
      <c r="Z1619" s="2022"/>
    </row>
    <row r="1620" spans="1:26">
      <c r="M1620" s="1629"/>
      <c r="N1620" s="1828"/>
      <c r="O1620" s="1837"/>
      <c r="P1620" s="1837"/>
    </row>
    <row r="1621" spans="1:26" ht="15.75" customHeight="1">
      <c r="A1621" s="2023" t="s">
        <v>1805</v>
      </c>
      <c r="B1621" s="2024" t="s">
        <v>2648</v>
      </c>
      <c r="C1621" s="2022"/>
      <c r="D1621" s="2058"/>
      <c r="E1621" s="2022"/>
      <c r="F1621" s="2022"/>
      <c r="G1621" s="2022"/>
      <c r="H1621" s="2022"/>
      <c r="I1621" s="2022"/>
      <c r="J1621" s="2022"/>
      <c r="K1621" s="2064" t="s">
        <v>1894</v>
      </c>
      <c r="L1621" s="2022"/>
      <c r="M1621" s="1837">
        <v>6</v>
      </c>
      <c r="N1621" s="1977"/>
      <c r="O1621" s="2021">
        <f>'Part IX A-Scoring Criteria'!O67</f>
        <v>3</v>
      </c>
      <c r="P1621" s="2021">
        <f>'Part IX A-Scoring Criteria'!P67</f>
        <v>0</v>
      </c>
      <c r="Q1621" s="1837" t="s">
        <v>443</v>
      </c>
      <c r="R1621" s="2065" t="s">
        <v>4808</v>
      </c>
      <c r="S1621" s="2065"/>
      <c r="T1621" s="2065"/>
      <c r="U1621" s="2065"/>
      <c r="V1621" s="2022"/>
      <c r="W1621" s="2022"/>
      <c r="X1621" s="2022"/>
      <c r="Y1621" s="2022"/>
      <c r="Z1621" s="2022"/>
    </row>
    <row r="1622" spans="1:26" ht="15">
      <c r="A1622" s="2023"/>
      <c r="B1622" s="1830" t="s">
        <v>3994</v>
      </c>
      <c r="C1622" s="2022"/>
      <c r="D1622" s="2058"/>
      <c r="E1622" s="2022"/>
      <c r="F1622" s="2022"/>
      <c r="G1622" s="2022"/>
      <c r="H1622" s="1844" t="s">
        <v>2812</v>
      </c>
      <c r="I1622" s="1879"/>
      <c r="J1622" s="1844" t="str">
        <f>'Part I-Project Information'!$H$100</f>
        <v>Flexible</v>
      </c>
      <c r="K1622" s="1830"/>
      <c r="L1622" s="2022"/>
      <c r="M1622" s="1837"/>
      <c r="N1622" s="1977"/>
      <c r="O1622" s="2066" t="s">
        <v>3620</v>
      </c>
      <c r="P1622" s="2066" t="s">
        <v>3621</v>
      </c>
      <c r="Q1622" s="1837"/>
      <c r="R1622" s="2065"/>
      <c r="S1622" s="2065"/>
      <c r="T1622" s="2065"/>
      <c r="U1622" s="2065"/>
      <c r="V1622" s="2022"/>
      <c r="W1622" s="2022"/>
      <c r="X1622" s="2022"/>
      <c r="Y1622" s="2022"/>
      <c r="Z1622" s="2022"/>
    </row>
    <row r="1623" spans="1:26" ht="15">
      <c r="A1623" s="2023"/>
      <c r="B1623" s="2067" t="s">
        <v>2002</v>
      </c>
      <c r="C1623" s="1156" t="s">
        <v>3619</v>
      </c>
      <c r="D1623" s="2058"/>
      <c r="E1623" s="2022"/>
      <c r="F1623" s="2022"/>
      <c r="G1623" s="2022"/>
      <c r="H1623" s="2041"/>
      <c r="I1623" s="1900"/>
      <c r="J1623" s="1830"/>
      <c r="K1623" s="1830"/>
      <c r="L1623" s="2022"/>
      <c r="M1623" s="1837"/>
      <c r="N1623" s="1977"/>
      <c r="O1623" s="1942" t="str">
        <f>'Part IX A-Scoring Criteria'!O69</f>
        <v>Yes</v>
      </c>
      <c r="P1623" s="1942">
        <f>'Part IX A-Scoring Criteria'!P69</f>
        <v>0</v>
      </c>
      <c r="Q1623" s="1837"/>
      <c r="R1623" s="2065"/>
      <c r="S1623" s="2065"/>
      <c r="T1623" s="2065"/>
      <c r="U1623" s="2065"/>
      <c r="V1623" s="2022"/>
      <c r="W1623" s="2022"/>
      <c r="X1623" s="2022"/>
      <c r="Y1623" s="2022"/>
      <c r="Z1623" s="2022"/>
    </row>
    <row r="1624" spans="1:26" ht="15">
      <c r="A1624" s="2023"/>
      <c r="B1624" s="2067" t="s">
        <v>2004</v>
      </c>
      <c r="C1624" s="1156" t="s">
        <v>3992</v>
      </c>
      <c r="D1624" s="2058"/>
      <c r="E1624" s="2022"/>
      <c r="F1624" s="2022"/>
      <c r="G1624" s="2022"/>
      <c r="H1624" s="2041"/>
      <c r="I1624" s="1900"/>
      <c r="J1624" s="1830"/>
      <c r="K1624" s="1830"/>
      <c r="L1624" s="2022"/>
      <c r="M1624" s="2022"/>
      <c r="N1624" s="1977"/>
      <c r="O1624" s="1942" t="str">
        <f>'Part IX A-Scoring Criteria'!O70</f>
        <v>Yes</v>
      </c>
      <c r="P1624" s="1942">
        <f>'Part IX A-Scoring Criteria'!P70</f>
        <v>0</v>
      </c>
      <c r="Q1624" s="1837"/>
      <c r="R1624" s="2065"/>
      <c r="S1624" s="2065"/>
      <c r="T1624" s="2065"/>
      <c r="U1624" s="2065"/>
      <c r="V1624" s="2022"/>
      <c r="W1624" s="2022"/>
      <c r="X1624" s="2022"/>
      <c r="Y1624" s="2022"/>
      <c r="Z1624" s="2022"/>
    </row>
    <row r="1625" spans="1:26" ht="15">
      <c r="A1625" s="2023"/>
      <c r="B1625" s="2067" t="s">
        <v>2551</v>
      </c>
      <c r="C1625" s="1156" t="s">
        <v>3993</v>
      </c>
      <c r="D1625" s="2058"/>
      <c r="E1625" s="2022"/>
      <c r="F1625" s="2022"/>
      <c r="G1625" s="2022"/>
      <c r="H1625" s="2041"/>
      <c r="I1625" s="1900"/>
      <c r="J1625" s="1830"/>
      <c r="K1625" s="1830"/>
      <c r="L1625" s="2022"/>
      <c r="M1625" s="2022"/>
      <c r="N1625" s="1977"/>
      <c r="O1625" s="1942" t="str">
        <f>'Part IX A-Scoring Criteria'!O71</f>
        <v>Yes</v>
      </c>
      <c r="P1625" s="1942">
        <f>'Part IX A-Scoring Criteria'!P71</f>
        <v>0</v>
      </c>
      <c r="Q1625" s="1837"/>
      <c r="R1625" s="2065"/>
      <c r="S1625" s="2065"/>
      <c r="T1625" s="2065"/>
      <c r="U1625" s="2065"/>
      <c r="V1625" s="2022"/>
      <c r="W1625" s="2022"/>
      <c r="X1625" s="2022"/>
      <c r="Y1625" s="2022"/>
      <c r="Z1625" s="2022"/>
    </row>
    <row r="1626" spans="1:26" ht="15">
      <c r="A1626" s="2023"/>
      <c r="B1626" s="2024"/>
      <c r="C1626" s="2022"/>
      <c r="D1626" s="2058"/>
      <c r="E1626" s="2022"/>
      <c r="F1626" s="2022"/>
      <c r="G1626" s="2022"/>
      <c r="H1626" s="2041"/>
      <c r="I1626" s="1900"/>
      <c r="J1626" s="1830"/>
      <c r="K1626" s="1830"/>
      <c r="L1626" s="2022"/>
      <c r="M1626" s="1837"/>
      <c r="N1626" s="1977"/>
      <c r="O1626" s="2021"/>
      <c r="P1626" s="2021"/>
      <c r="Q1626" s="1837"/>
      <c r="R1626" s="2065"/>
      <c r="S1626" s="2065"/>
      <c r="T1626" s="2065"/>
      <c r="U1626" s="2065"/>
      <c r="V1626" s="2022"/>
      <c r="W1626" s="2022"/>
      <c r="X1626" s="2022"/>
      <c r="Y1626" s="2022"/>
      <c r="Z1626" s="2022"/>
    </row>
    <row r="1627" spans="1:26" ht="15">
      <c r="A1627" s="2023"/>
      <c r="B1627" s="1830" t="s">
        <v>4001</v>
      </c>
      <c r="C1627" s="2022"/>
      <c r="D1627" s="2058"/>
      <c r="E1627" s="2022"/>
      <c r="F1627" s="1830" t="s">
        <v>3743</v>
      </c>
      <c r="G1627" s="1830"/>
      <c r="H1627" s="1830"/>
      <c r="I1627" s="1830"/>
      <c r="J1627" s="1830" t="s">
        <v>3744</v>
      </c>
      <c r="K1627" s="1830"/>
      <c r="L1627" s="1830"/>
      <c r="M1627" s="1830"/>
      <c r="N1627" s="1977"/>
      <c r="O1627" s="1793" t="s">
        <v>4809</v>
      </c>
      <c r="P1627" s="2068"/>
      <c r="Q1627" s="1837"/>
      <c r="R1627" s="2065"/>
      <c r="S1627" s="2065"/>
      <c r="T1627" s="2065"/>
      <c r="U1627" s="2065"/>
      <c r="V1627" s="2022"/>
      <c r="W1627" s="2022"/>
      <c r="X1627" s="2022"/>
      <c r="Y1627" s="2022"/>
      <c r="Z1627" s="2022"/>
    </row>
    <row r="1628" spans="1:26" ht="15">
      <c r="A1628" s="2023"/>
      <c r="B1628" s="2022"/>
      <c r="C1628" s="1830" t="s">
        <v>4000</v>
      </c>
      <c r="D1628" s="1714"/>
      <c r="E1628" s="1637"/>
      <c r="F1628" s="1641">
        <f>'Part IX A-Scoring Criteria'!F74</f>
        <v>32.823365000000003</v>
      </c>
      <c r="G1628" s="1641">
        <f>'Part IX A-Scoring Criteria'!G74</f>
        <v>0</v>
      </c>
      <c r="H1628" s="1641">
        <f>'Part IX A-Scoring Criteria'!H74</f>
        <v>0</v>
      </c>
      <c r="I1628" s="1641">
        <f>'Part IX A-Scoring Criteria'!I74</f>
        <v>0</v>
      </c>
      <c r="J1628" s="1641">
        <f>'Part IX A-Scoring Criteria'!J74</f>
        <v>-83.646660999999995</v>
      </c>
      <c r="K1628" s="1641">
        <f>'Part IX A-Scoring Criteria'!K74</f>
        <v>0</v>
      </c>
      <c r="L1628" s="1641">
        <f>'Part IX A-Scoring Criteria'!L74</f>
        <v>0</v>
      </c>
      <c r="M1628" s="1641">
        <f>'Part IX A-Scoring Criteria'!M74</f>
        <v>0</v>
      </c>
      <c r="N1628" s="1977"/>
      <c r="O1628" s="2022"/>
      <c r="P1628" s="2022"/>
      <c r="Q1628" s="1837"/>
      <c r="R1628" s="2065"/>
      <c r="S1628" s="2065"/>
      <c r="T1628" s="2065"/>
      <c r="U1628" s="2065"/>
      <c r="V1628" s="2022"/>
      <c r="W1628" s="2022"/>
      <c r="X1628" s="2022"/>
      <c r="Y1628" s="2022"/>
      <c r="Z1628" s="2022"/>
    </row>
    <row r="1629" spans="1:26" ht="15">
      <c r="A1629" s="2022"/>
      <c r="B1629" s="1927"/>
      <c r="C1629" s="2022"/>
      <c r="D1629" s="478" t="s">
        <v>4002</v>
      </c>
      <c r="E1629" s="1637"/>
      <c r="F1629" s="1641">
        <f>'Part IX A-Scoring Criteria'!F75</f>
        <v>32.823950000000004</v>
      </c>
      <c r="G1629" s="1641">
        <f>'Part IX A-Scoring Criteria'!G75</f>
        <v>0</v>
      </c>
      <c r="H1629" s="1641">
        <f>'Part IX A-Scoring Criteria'!H75</f>
        <v>0</v>
      </c>
      <c r="I1629" s="1641">
        <f>'Part IX A-Scoring Criteria'!I75</f>
        <v>0</v>
      </c>
      <c r="J1629" s="1641">
        <f>'Part IX A-Scoring Criteria'!J75</f>
        <v>-83.649144000000007</v>
      </c>
      <c r="K1629" s="1641">
        <f>'Part IX A-Scoring Criteria'!K75</f>
        <v>0</v>
      </c>
      <c r="L1629" s="1641">
        <f>'Part IX A-Scoring Criteria'!L75</f>
        <v>0</v>
      </c>
      <c r="M1629" s="1641">
        <f>'Part IX A-Scoring Criteria'!M75</f>
        <v>0</v>
      </c>
      <c r="N1629" s="1977"/>
      <c r="O1629" s="2069">
        <f>'Part IX A-Scoring Criteria'!O75</f>
        <v>0.2</v>
      </c>
      <c r="P1629" s="2069">
        <f>'Part IX A-Scoring Criteria'!P75</f>
        <v>0</v>
      </c>
      <c r="Q1629" s="1837"/>
      <c r="R1629" s="2065"/>
      <c r="S1629" s="2065"/>
      <c r="T1629" s="2065"/>
      <c r="U1629" s="2065"/>
      <c r="V1629" s="2022"/>
      <c r="W1629" s="2022"/>
      <c r="X1629" s="2022"/>
      <c r="Y1629" s="2022"/>
      <c r="Z1629" s="2022"/>
    </row>
    <row r="1630" spans="1:26" ht="15" customHeight="1">
      <c r="A1630" s="1927" t="s">
        <v>4191</v>
      </c>
      <c r="B1630" s="1927"/>
      <c r="C1630" s="1830" t="s">
        <v>4142</v>
      </c>
      <c r="D1630" s="1714"/>
      <c r="E1630" s="1637"/>
      <c r="F1630" s="1641" t="str">
        <f>'Part IX A-Scoring Criteria'!F76</f>
        <v>N/A</v>
      </c>
      <c r="G1630" s="1641">
        <f>'Part IX A-Scoring Criteria'!G76</f>
        <v>0</v>
      </c>
      <c r="H1630" s="1641">
        <f>'Part IX A-Scoring Criteria'!H76</f>
        <v>0</v>
      </c>
      <c r="I1630" s="1641">
        <f>'Part IX A-Scoring Criteria'!I76</f>
        <v>0</v>
      </c>
      <c r="J1630" s="1641">
        <f>'Part IX A-Scoring Criteria'!J76</f>
        <v>0</v>
      </c>
      <c r="K1630" s="1641">
        <f>'Part IX A-Scoring Criteria'!K76</f>
        <v>0</v>
      </c>
      <c r="L1630" s="1641">
        <f>'Part IX A-Scoring Criteria'!L76</f>
        <v>0</v>
      </c>
      <c r="M1630" s="1641">
        <f>'Part IX A-Scoring Criteria'!M76</f>
        <v>0</v>
      </c>
      <c r="N1630" s="1977"/>
      <c r="O1630" s="2069">
        <f>'Part IX A-Scoring Criteria'!O76</f>
        <v>0</v>
      </c>
      <c r="P1630" s="2069">
        <f>'Part IX A-Scoring Criteria'!P76</f>
        <v>0</v>
      </c>
      <c r="Q1630" s="1837"/>
      <c r="R1630" s="2065"/>
      <c r="S1630" s="2065"/>
      <c r="T1630" s="2065"/>
      <c r="U1630" s="2065"/>
      <c r="V1630" s="2022"/>
      <c r="W1630" s="2022"/>
      <c r="X1630" s="2022"/>
      <c r="Y1630" s="2022"/>
      <c r="Z1630" s="2022"/>
    </row>
    <row r="1631" spans="1:26" ht="15">
      <c r="A1631" s="1927"/>
      <c r="B1631" s="1927"/>
      <c r="C1631" s="2022"/>
      <c r="D1631" s="478" t="s">
        <v>4140</v>
      </c>
      <c r="E1631" s="1637"/>
      <c r="F1631" s="1641">
        <f>'Part IX A-Scoring Criteria'!F77</f>
        <v>0</v>
      </c>
      <c r="G1631" s="1641">
        <f>'Part IX A-Scoring Criteria'!G77</f>
        <v>0</v>
      </c>
      <c r="H1631" s="1641">
        <f>'Part IX A-Scoring Criteria'!H77</f>
        <v>0</v>
      </c>
      <c r="I1631" s="1641">
        <f>'Part IX A-Scoring Criteria'!I77</f>
        <v>0</v>
      </c>
      <c r="J1631" s="1641">
        <f>'Part IX A-Scoring Criteria'!J77</f>
        <v>0</v>
      </c>
      <c r="K1631" s="1641">
        <f>'Part IX A-Scoring Criteria'!K77</f>
        <v>0</v>
      </c>
      <c r="L1631" s="1641">
        <f>'Part IX A-Scoring Criteria'!L77</f>
        <v>0</v>
      </c>
      <c r="M1631" s="1641">
        <f>'Part IX A-Scoring Criteria'!M77</f>
        <v>0</v>
      </c>
      <c r="N1631" s="1977"/>
      <c r="O1631" s="2069">
        <f>'Part IX A-Scoring Criteria'!O77</f>
        <v>0</v>
      </c>
      <c r="P1631" s="2069">
        <f>'Part IX A-Scoring Criteria'!P77</f>
        <v>0</v>
      </c>
      <c r="Q1631" s="1837"/>
      <c r="R1631" s="2065"/>
      <c r="S1631" s="2065"/>
      <c r="T1631" s="2065"/>
      <c r="U1631" s="2065"/>
      <c r="V1631" s="2022"/>
      <c r="W1631" s="2022"/>
      <c r="X1631" s="2022"/>
      <c r="Y1631" s="2022"/>
      <c r="Z1631" s="2022"/>
    </row>
    <row r="1632" spans="1:26" ht="15">
      <c r="A1632" s="2023"/>
      <c r="B1632" s="2024"/>
      <c r="C1632" s="2022"/>
      <c r="D1632" s="2058"/>
      <c r="E1632" s="2022"/>
      <c r="F1632" s="2022"/>
      <c r="G1632" s="2022"/>
      <c r="H1632" s="2041"/>
      <c r="I1632" s="1900"/>
      <c r="J1632" s="1830"/>
      <c r="K1632" s="1830"/>
      <c r="L1632" s="2022"/>
      <c r="M1632" s="1837"/>
      <c r="N1632" s="1977"/>
      <c r="O1632" s="2021"/>
      <c r="P1632" s="2021"/>
      <c r="Q1632" s="1837"/>
      <c r="R1632" s="2065"/>
      <c r="S1632" s="2065"/>
      <c r="T1632" s="2065"/>
      <c r="U1632" s="2065"/>
      <c r="V1632" s="2022"/>
      <c r="W1632" s="2022"/>
      <c r="X1632" s="2022"/>
      <c r="Y1632" s="2022"/>
      <c r="Z1632" s="2022"/>
    </row>
    <row r="1633" spans="1:26" ht="15">
      <c r="A1633" s="2070" t="s">
        <v>2803</v>
      </c>
      <c r="B1633" s="2024"/>
      <c r="C1633" s="2022"/>
      <c r="D1633" s="2058"/>
      <c r="E1633" s="2022"/>
      <c r="F1633" s="2071" t="s">
        <v>4810</v>
      </c>
      <c r="G1633" s="2022"/>
      <c r="H1633" s="2022"/>
      <c r="I1633" s="2022"/>
      <c r="J1633" s="2022"/>
      <c r="K1633" s="2022"/>
      <c r="L1633" s="2022"/>
      <c r="M1633" s="1837"/>
      <c r="N1633" s="1837"/>
      <c r="O1633" s="1837"/>
      <c r="P1633" s="1837"/>
      <c r="Q1633" s="1837"/>
      <c r="R1633" s="2065"/>
      <c r="S1633" s="2065"/>
      <c r="T1633" s="2065"/>
      <c r="U1633" s="2065"/>
      <c r="V1633" s="2022"/>
      <c r="W1633" s="2022"/>
      <c r="X1633" s="2022"/>
      <c r="Y1633" s="2022"/>
      <c r="Z1633" s="2022"/>
    </row>
    <row r="1634" spans="1:26" ht="15" customHeight="1">
      <c r="A1634" s="1976" t="s">
        <v>1999</v>
      </c>
      <c r="B1634" s="1844" t="s">
        <v>3773</v>
      </c>
      <c r="C1634" s="2022"/>
      <c r="D1634" s="2058"/>
      <c r="E1634" s="2022"/>
      <c r="F1634" s="2041" t="s">
        <v>4811</v>
      </c>
      <c r="G1634" s="2022"/>
      <c r="H1634" s="2022"/>
      <c r="I1634" s="2072" t="s">
        <v>4812</v>
      </c>
      <c r="J1634" s="2072"/>
      <c r="K1634" s="2072"/>
      <c r="L1634" s="2072"/>
      <c r="M1634" s="1837">
        <v>6</v>
      </c>
      <c r="N1634" s="2048" t="s">
        <v>1999</v>
      </c>
      <c r="O1634" s="1897">
        <f>'Part IX A-Scoring Criteria'!O80</f>
        <v>0</v>
      </c>
      <c r="P1634" s="1897">
        <f>'Part IX A-Scoring Criteria'!P80</f>
        <v>0</v>
      </c>
      <c r="Q1634" s="1837"/>
      <c r="R1634" s="2022"/>
      <c r="S1634" s="2022"/>
      <c r="T1634" s="2022"/>
      <c r="U1634" s="2022"/>
      <c r="V1634" s="2022"/>
      <c r="W1634" s="2022"/>
      <c r="X1634" s="2022"/>
      <c r="Y1634" s="2022"/>
      <c r="Z1634" s="2022"/>
    </row>
    <row r="1635" spans="1:26" ht="15" customHeight="1">
      <c r="A1635" s="2073"/>
      <c r="B1635" s="2074" t="s">
        <v>2002</v>
      </c>
      <c r="C1635" s="1936" t="s">
        <v>4813</v>
      </c>
      <c r="D1635" s="1936"/>
      <c r="E1635" s="1936"/>
      <c r="F1635" s="1936"/>
      <c r="G1635" s="1936"/>
      <c r="H1635" s="1936"/>
      <c r="I1635" s="2072"/>
      <c r="J1635" s="2072"/>
      <c r="K1635" s="2072"/>
      <c r="L1635" s="2072"/>
      <c r="M1635" s="2075">
        <v>5</v>
      </c>
      <c r="N1635" s="2067" t="s">
        <v>2002</v>
      </c>
      <c r="O1635" s="2060">
        <f>'Part IX A-Scoring Criteria'!O81</f>
        <v>0</v>
      </c>
      <c r="P1635" s="2060">
        <f>'Part IX A-Scoring Criteria'!P81</f>
        <v>0</v>
      </c>
      <c r="Q1635" s="2061" t="str">
        <f>IF(OR($O1635=$M1635,$O1635=0,$O1635=""),"","*CHECK!*")</f>
        <v/>
      </c>
      <c r="R1635" s="2062" t="s">
        <v>2724</v>
      </c>
      <c r="S1635" s="2073"/>
      <c r="T1635" s="2073"/>
      <c r="U1635" s="2073"/>
      <c r="V1635" s="2073"/>
      <c r="W1635" s="2073"/>
      <c r="X1635" s="2073"/>
      <c r="Y1635" s="2073"/>
      <c r="Z1635" s="2073"/>
    </row>
    <row r="1636" spans="1:26" ht="15" customHeight="1">
      <c r="A1636" s="1942" t="s">
        <v>1365</v>
      </c>
      <c r="B1636" s="2074" t="s">
        <v>2004</v>
      </c>
      <c r="C1636" s="1961" t="s">
        <v>4814</v>
      </c>
      <c r="D1636" s="1961"/>
      <c r="E1636" s="1961"/>
      <c r="F1636" s="1961"/>
      <c r="G1636" s="1961"/>
      <c r="H1636" s="1961"/>
      <c r="I1636" s="2072"/>
      <c r="J1636" s="2072"/>
      <c r="K1636" s="2072"/>
      <c r="L1636" s="2072"/>
      <c r="M1636" s="2075">
        <v>4</v>
      </c>
      <c r="N1636" s="2067" t="s">
        <v>2004</v>
      </c>
      <c r="O1636" s="2060">
        <f>'Part IX A-Scoring Criteria'!O82</f>
        <v>0</v>
      </c>
      <c r="P1636" s="2060">
        <f>'Part IX A-Scoring Criteria'!P82</f>
        <v>0</v>
      </c>
      <c r="Q1636" s="2061" t="str">
        <f t="shared" ref="Q1636:Q1637" si="321">IF(OR($O1636=$M1636,$O1636=0,$O1636=""),"","*CHECK!*")</f>
        <v/>
      </c>
      <c r="R1636" s="2062" t="s">
        <v>2724</v>
      </c>
      <c r="S1636" s="2073"/>
      <c r="T1636" s="2073"/>
      <c r="U1636" s="2073"/>
      <c r="V1636" s="2073"/>
      <c r="W1636" s="2073"/>
      <c r="X1636" s="2073"/>
      <c r="Y1636" s="2073"/>
      <c r="Z1636" s="2073"/>
    </row>
    <row r="1637" spans="1:26" ht="15" customHeight="1">
      <c r="A1637" s="2073"/>
      <c r="B1637" s="2074" t="s">
        <v>2551</v>
      </c>
      <c r="C1637" s="1961" t="s">
        <v>3774</v>
      </c>
      <c r="D1637" s="1961"/>
      <c r="E1637" s="1961"/>
      <c r="F1637" s="1961"/>
      <c r="G1637" s="1977" t="s">
        <v>4139</v>
      </c>
      <c r="H1637" s="1969" t="str">
        <f>'Part I-Project Information'!$H$78</f>
        <v>Family</v>
      </c>
      <c r="I1637" s="1707" t="str">
        <f>'Part IX A-Scoring Criteria'!I83</f>
        <v>Macon Transit Authority</v>
      </c>
      <c r="J1637" s="1707">
        <f>'Part IX A-Scoring Criteria'!J83</f>
        <v>0</v>
      </c>
      <c r="K1637" s="1707">
        <f>'Part IX A-Scoring Criteria'!K83</f>
        <v>0</v>
      </c>
      <c r="L1637" s="2076" t="str">
        <f>'Part IX A-Scoring Criteria'!L83</f>
        <v>478-803-2505</v>
      </c>
      <c r="M1637" s="2075">
        <v>1</v>
      </c>
      <c r="N1637" s="2067" t="s">
        <v>2551</v>
      </c>
      <c r="O1637" s="2060">
        <f>'Part IX A-Scoring Criteria'!O83</f>
        <v>0</v>
      </c>
      <c r="P1637" s="2060">
        <f>'Part IX A-Scoring Criteria'!P83</f>
        <v>0</v>
      </c>
      <c r="Q1637" s="2061" t="str">
        <f t="shared" si="321"/>
        <v/>
      </c>
      <c r="R1637" s="2062" t="s">
        <v>2724</v>
      </c>
      <c r="S1637" s="2073"/>
      <c r="T1637" s="2073"/>
      <c r="U1637" s="2073"/>
      <c r="V1637" s="2073"/>
      <c r="W1637" s="2073"/>
      <c r="X1637" s="2073"/>
      <c r="Y1637" s="2073"/>
      <c r="Z1637" s="2073"/>
    </row>
    <row r="1638" spans="1:26" ht="15">
      <c r="A1638" s="1976" t="s">
        <v>2001</v>
      </c>
      <c r="B1638" s="2077" t="s">
        <v>3775</v>
      </c>
      <c r="C1638" s="1327"/>
      <c r="D1638" s="1327"/>
      <c r="E1638" s="1327"/>
      <c r="F1638" s="2078" t="s">
        <v>4815</v>
      </c>
      <c r="G1638" s="2073"/>
      <c r="H1638" s="2073"/>
      <c r="I1638" s="1707">
        <f>'Part IX A-Scoring Criteria'!I84</f>
        <v>0</v>
      </c>
      <c r="J1638" s="1707">
        <f>'Part IX A-Scoring Criteria'!J84</f>
        <v>0</v>
      </c>
      <c r="K1638" s="1707">
        <f>'Part IX A-Scoring Criteria'!K84</f>
        <v>0</v>
      </c>
      <c r="L1638" s="2076">
        <f>'Part IX A-Scoring Criteria'!L84</f>
        <v>0</v>
      </c>
      <c r="M1638" s="2079">
        <v>3</v>
      </c>
      <c r="N1638" s="1987" t="s">
        <v>2001</v>
      </c>
      <c r="O1638" s="1897">
        <f>'Part IX A-Scoring Criteria'!O84</f>
        <v>3</v>
      </c>
      <c r="P1638" s="1897">
        <f>'Part IX A-Scoring Criteria'!P84</f>
        <v>0</v>
      </c>
      <c r="Q1638" s="2080"/>
      <c r="R1638" s="1876"/>
      <c r="S1638" s="2073"/>
      <c r="T1638" s="2073"/>
      <c r="U1638" s="2073"/>
      <c r="V1638" s="2073"/>
      <c r="W1638" s="2073"/>
      <c r="X1638" s="2073"/>
      <c r="Y1638" s="2073"/>
      <c r="Z1638" s="2073"/>
    </row>
    <row r="1639" spans="1:26" ht="15" customHeight="1">
      <c r="A1639" s="1855"/>
      <c r="B1639" s="2074" t="s">
        <v>2002</v>
      </c>
      <c r="C1639" s="1901" t="s">
        <v>4816</v>
      </c>
      <c r="D1639" s="1901"/>
      <c r="E1639" s="1901"/>
      <c r="F1639" s="1901"/>
      <c r="G1639" s="1901"/>
      <c r="H1639" s="1901"/>
      <c r="I1639" s="1707" t="str">
        <f>'Part IX A-Scoring Criteria'!I85</f>
        <v>http://www.mta-mac.com/schedules.html</v>
      </c>
      <c r="J1639" s="1707">
        <f>'Part IX A-Scoring Criteria'!J85</f>
        <v>0</v>
      </c>
      <c r="K1639" s="1707">
        <f>'Part IX A-Scoring Criteria'!K85</f>
        <v>0</v>
      </c>
      <c r="L1639" s="1707">
        <f>'Part IX A-Scoring Criteria'!L85</f>
        <v>0</v>
      </c>
      <c r="M1639" s="2075">
        <v>3</v>
      </c>
      <c r="N1639" s="2067" t="s">
        <v>2002</v>
      </c>
      <c r="O1639" s="2060">
        <f>'Part IX A-Scoring Criteria'!O85</f>
        <v>3</v>
      </c>
      <c r="P1639" s="2060">
        <f>'Part IX A-Scoring Criteria'!P85</f>
        <v>0</v>
      </c>
      <c r="Q1639" s="2061" t="str">
        <f>IF(OR($O1639=$M1639,$O1639=0,$O1639=""),"","*CHECK!*")</f>
        <v/>
      </c>
      <c r="R1639" s="2062" t="s">
        <v>2724</v>
      </c>
      <c r="S1639" s="2073"/>
      <c r="T1639" s="2073"/>
      <c r="U1639" s="2073"/>
      <c r="V1639" s="2073"/>
      <c r="W1639" s="2073"/>
      <c r="X1639" s="2073"/>
      <c r="Y1639" s="2073"/>
      <c r="Z1639" s="2073"/>
    </row>
    <row r="1640" spans="1:26" ht="15" customHeight="1">
      <c r="A1640" s="1988" t="s">
        <v>1365</v>
      </c>
      <c r="B1640" s="2074" t="s">
        <v>2004</v>
      </c>
      <c r="C1640" s="1901" t="s">
        <v>4817</v>
      </c>
      <c r="D1640" s="1901"/>
      <c r="E1640" s="1901"/>
      <c r="F1640" s="1901"/>
      <c r="G1640" s="1901"/>
      <c r="H1640" s="1901"/>
      <c r="I1640" s="1707">
        <f>'Part IX A-Scoring Criteria'!I86</f>
        <v>0</v>
      </c>
      <c r="J1640" s="1707">
        <f>'Part IX A-Scoring Criteria'!J86</f>
        <v>0</v>
      </c>
      <c r="K1640" s="1707">
        <f>'Part IX A-Scoring Criteria'!K86</f>
        <v>0</v>
      </c>
      <c r="L1640" s="1707">
        <f>'Part IX A-Scoring Criteria'!L86</f>
        <v>0</v>
      </c>
      <c r="M1640" s="2075">
        <v>2</v>
      </c>
      <c r="N1640" s="2067" t="s">
        <v>2004</v>
      </c>
      <c r="O1640" s="2060">
        <f>'Part IX A-Scoring Criteria'!O86</f>
        <v>0</v>
      </c>
      <c r="P1640" s="2060">
        <f>'Part IX A-Scoring Criteria'!P86</f>
        <v>0</v>
      </c>
      <c r="Q1640" s="2061" t="str">
        <f t="shared" ref="Q1640:Q1641" si="322">IF(OR($O1640=$M1640,$O1640=0,$O1640=""),"","*CHECK!*")</f>
        <v/>
      </c>
      <c r="R1640" s="2062" t="s">
        <v>2724</v>
      </c>
      <c r="S1640" s="2022"/>
      <c r="T1640" s="2022"/>
      <c r="U1640" s="2022"/>
      <c r="V1640" s="2022"/>
      <c r="W1640" s="2022"/>
      <c r="X1640" s="2022"/>
      <c r="Y1640" s="2022"/>
      <c r="Z1640" s="2022"/>
    </row>
    <row r="1641" spans="1:26" ht="15" customHeight="1">
      <c r="A1641" s="1988" t="s">
        <v>1365</v>
      </c>
      <c r="B1641" s="2074" t="s">
        <v>2551</v>
      </c>
      <c r="C1641" s="1936" t="s">
        <v>4818</v>
      </c>
      <c r="D1641" s="1936"/>
      <c r="E1641" s="1936"/>
      <c r="F1641" s="1936"/>
      <c r="G1641" s="1936"/>
      <c r="H1641" s="1936"/>
      <c r="I1641" s="1707" t="str">
        <f>'Part IX A-Scoring Criteria'!I87</f>
        <v>&lt;&lt; Enter specific URL/webpage showing established routes from transit agency website (if different) here &gt;&gt;</v>
      </c>
      <c r="J1641" s="1707">
        <f>'Part IX A-Scoring Criteria'!J87</f>
        <v>0</v>
      </c>
      <c r="K1641" s="1707">
        <f>'Part IX A-Scoring Criteria'!K87</f>
        <v>0</v>
      </c>
      <c r="L1641" s="1707">
        <f>'Part IX A-Scoring Criteria'!L87</f>
        <v>0</v>
      </c>
      <c r="M1641" s="2075">
        <v>1</v>
      </c>
      <c r="N1641" s="2067" t="s">
        <v>2551</v>
      </c>
      <c r="O1641" s="2060">
        <f>'Part IX A-Scoring Criteria'!O87</f>
        <v>0</v>
      </c>
      <c r="P1641" s="2060">
        <f>'Part IX A-Scoring Criteria'!P87</f>
        <v>0</v>
      </c>
      <c r="Q1641" s="2061" t="str">
        <f t="shared" si="322"/>
        <v/>
      </c>
      <c r="R1641" s="2062" t="s">
        <v>2724</v>
      </c>
      <c r="S1641" s="2022"/>
      <c r="T1641" s="2022"/>
      <c r="U1641" s="2022"/>
      <c r="V1641" s="2022"/>
      <c r="W1641" s="2022"/>
      <c r="X1641" s="2022"/>
      <c r="Y1641" s="2022"/>
      <c r="Z1641" s="2022"/>
    </row>
    <row r="1642" spans="1:26" ht="15">
      <c r="A1642" s="2070" t="s">
        <v>2805</v>
      </c>
      <c r="B1642" s="1844"/>
      <c r="C1642" s="2022"/>
      <c r="D1642" s="2022"/>
      <c r="E1642" s="2058"/>
      <c r="F1642" s="2022"/>
      <c r="G1642" s="2022"/>
      <c r="H1642" s="2022"/>
      <c r="I1642" s="1707">
        <f>'Part IX A-Scoring Criteria'!I88</f>
        <v>0</v>
      </c>
      <c r="J1642" s="1707">
        <f>'Part IX A-Scoring Criteria'!J88</f>
        <v>0</v>
      </c>
      <c r="K1642" s="1707">
        <f>'Part IX A-Scoring Criteria'!K88</f>
        <v>0</v>
      </c>
      <c r="L1642" s="1707">
        <f>'Part IX A-Scoring Criteria'!L88</f>
        <v>0</v>
      </c>
      <c r="M1642" s="1828"/>
      <c r="N1642" s="1828"/>
      <c r="O1642" s="1828"/>
      <c r="P1642" s="1828"/>
      <c r="Q1642" s="1985"/>
      <c r="R1642" s="1985"/>
      <c r="S1642" s="2022"/>
      <c r="T1642" s="2022"/>
      <c r="U1642" s="2022"/>
      <c r="V1642" s="2022"/>
      <c r="W1642" s="2022"/>
      <c r="X1642" s="2022"/>
      <c r="Y1642" s="2022"/>
      <c r="Z1642" s="2022"/>
    </row>
    <row r="1643" spans="1:26" ht="15">
      <c r="A1643" s="1855"/>
      <c r="B1643" s="2074" t="s">
        <v>1236</v>
      </c>
      <c r="C1643" s="1844" t="s">
        <v>4819</v>
      </c>
      <c r="D1643" s="1844"/>
      <c r="E1643" s="1844"/>
      <c r="F1643" s="1844"/>
      <c r="G1643" s="1844"/>
      <c r="H1643" s="1844"/>
      <c r="I1643" s="1844"/>
      <c r="J1643" s="1844"/>
      <c r="K1643" s="1844"/>
      <c r="L1643" s="1844"/>
      <c r="M1643" s="1828">
        <v>2</v>
      </c>
      <c r="N1643" s="2067" t="s">
        <v>1236</v>
      </c>
      <c r="O1643" s="2021">
        <f>'Part IX A-Scoring Criteria'!O89</f>
        <v>0</v>
      </c>
      <c r="P1643" s="2021">
        <f>'Part IX A-Scoring Criteria'!P89</f>
        <v>0</v>
      </c>
      <c r="Q1643" s="2061" t="str">
        <f>IF(OR($O1643=$M1643,$O1643=0,$O1643=""),"","*CHECK!*")</f>
        <v/>
      </c>
      <c r="R1643" s="2062" t="s">
        <v>2724</v>
      </c>
      <c r="S1643" s="2040"/>
      <c r="T1643" s="2040"/>
      <c r="U1643" s="2040"/>
      <c r="V1643" s="2040"/>
      <c r="W1643" s="2040"/>
      <c r="X1643" s="2040"/>
      <c r="Y1643" s="2040"/>
      <c r="Z1643" s="2040"/>
    </row>
    <row r="1644" spans="1:26" ht="15">
      <c r="A1644" s="478" t="s">
        <v>4820</v>
      </c>
      <c r="B1644" s="1844"/>
      <c r="C1644" s="2022"/>
      <c r="D1644" s="2022"/>
      <c r="E1644" s="2058"/>
      <c r="F1644" s="2022"/>
      <c r="G1644" s="2022"/>
      <c r="H1644" s="2022"/>
      <c r="I1644" s="2022"/>
      <c r="J1644" s="2022"/>
      <c r="K1644" s="1830"/>
      <c r="L1644" s="2022"/>
      <c r="M1644" s="1828"/>
      <c r="N1644" s="1828"/>
      <c r="O1644" s="1828"/>
      <c r="P1644" s="1828"/>
      <c r="Q1644" s="1985"/>
      <c r="R1644" s="1985"/>
      <c r="S1644" s="2022"/>
      <c r="T1644" s="2022"/>
      <c r="U1644" s="2022"/>
      <c r="V1644" s="2022"/>
      <c r="W1644" s="2022"/>
      <c r="X1644" s="2022"/>
      <c r="Y1644" s="2022"/>
      <c r="Z1644" s="2022"/>
    </row>
    <row r="1645" spans="1:26" ht="15">
      <c r="A1645" s="1629"/>
      <c r="B1645" s="1900" t="s">
        <v>1880</v>
      </c>
      <c r="C1645" s="1629"/>
      <c r="D1645" s="1900"/>
      <c r="E1645" s="1866"/>
      <c r="F1645" s="1866"/>
      <c r="G1645" s="1866"/>
      <c r="H1645" s="1866"/>
      <c r="I1645" s="1866"/>
      <c r="J1645" s="1866"/>
      <c r="K1645" s="1866"/>
      <c r="L1645" s="1866"/>
      <c r="M1645" s="1866"/>
      <c r="N1645" s="1963"/>
      <c r="O1645" s="1842"/>
      <c r="P1645" s="1837"/>
      <c r="Q1645" s="2053"/>
      <c r="R1645" s="2040"/>
      <c r="S1645" s="2040"/>
      <c r="T1645" s="2040"/>
      <c r="U1645" s="2040"/>
      <c r="V1645" s="2040"/>
      <c r="W1645" s="2040"/>
      <c r="X1645" s="2040"/>
      <c r="Y1645" s="2040"/>
      <c r="Z1645" s="2040"/>
    </row>
    <row r="1646" spans="1:26" ht="15.75">
      <c r="A1646" s="1936">
        <f>'Part IX A-Scoring Criteria'!A92</f>
        <v>0</v>
      </c>
      <c r="B1646" s="1936">
        <f>'Part IX A-Scoring Criteria'!B92</f>
        <v>0</v>
      </c>
      <c r="C1646" s="1936">
        <f>'Part IX A-Scoring Criteria'!C92</f>
        <v>0</v>
      </c>
      <c r="D1646" s="1936">
        <f>'Part IX A-Scoring Criteria'!D92</f>
        <v>0</v>
      </c>
      <c r="E1646" s="1936">
        <f>'Part IX A-Scoring Criteria'!E92</f>
        <v>0</v>
      </c>
      <c r="F1646" s="1936">
        <f>'Part IX A-Scoring Criteria'!F92</f>
        <v>0</v>
      </c>
      <c r="G1646" s="1936">
        <f>'Part IX A-Scoring Criteria'!G92</f>
        <v>0</v>
      </c>
      <c r="H1646" s="1936">
        <f>'Part IX A-Scoring Criteria'!H92</f>
        <v>0</v>
      </c>
      <c r="I1646" s="1936">
        <f>'Part IX A-Scoring Criteria'!I92</f>
        <v>0</v>
      </c>
      <c r="J1646" s="1936">
        <f>'Part IX A-Scoring Criteria'!J92</f>
        <v>0</v>
      </c>
      <c r="K1646" s="1936">
        <f>'Part IX A-Scoring Criteria'!K92</f>
        <v>0</v>
      </c>
      <c r="L1646" s="1936">
        <f>'Part IX A-Scoring Criteria'!L92</f>
        <v>0</v>
      </c>
      <c r="M1646" s="1936">
        <f>'Part IX A-Scoring Criteria'!M92</f>
        <v>0</v>
      </c>
      <c r="N1646" s="1936">
        <f>'Part IX A-Scoring Criteria'!N92</f>
        <v>0</v>
      </c>
      <c r="O1646" s="1936">
        <f>'Part IX A-Scoring Criteria'!O92</f>
        <v>0</v>
      </c>
      <c r="P1646" s="1936">
        <f>'Part IX A-Scoring Criteria'!P92</f>
        <v>0</v>
      </c>
      <c r="Q1646" s="2030"/>
      <c r="R1646" s="2022"/>
      <c r="S1646" s="2022"/>
      <c r="T1646" s="2022"/>
      <c r="U1646" s="2022"/>
      <c r="V1646" s="2022"/>
      <c r="W1646" s="2022"/>
      <c r="X1646" s="2022"/>
      <c r="Y1646" s="2022"/>
      <c r="Z1646" s="2022"/>
    </row>
    <row r="1647" spans="1:26" ht="15">
      <c r="N1647" s="1824"/>
      <c r="O1647" s="1826"/>
      <c r="P1647" s="1826"/>
      <c r="R1647" s="2022"/>
    </row>
    <row r="1648" spans="1:26" ht="15">
      <c r="A1648" s="2023" t="s">
        <v>1807</v>
      </c>
      <c r="B1648" s="2024" t="s">
        <v>219</v>
      </c>
      <c r="C1648" s="2022"/>
      <c r="D1648" s="478"/>
      <c r="E1648" s="478"/>
      <c r="F1648" s="2022"/>
      <c r="G1648" s="2081"/>
      <c r="H1648" s="2082"/>
      <c r="I1648" s="2082"/>
      <c r="J1648" s="2082"/>
      <c r="K1648" s="2082"/>
      <c r="L1648" s="2082"/>
      <c r="M1648" s="1837">
        <v>3</v>
      </c>
      <c r="N1648" s="2083"/>
      <c r="O1648" s="2021">
        <f>'Part IX A-Scoring Criteria'!O94</f>
        <v>2</v>
      </c>
      <c r="P1648" s="2021">
        <f>'Part IX A-Scoring Criteria'!P94</f>
        <v>0</v>
      </c>
      <c r="Q1648" s="1837" t="s">
        <v>443</v>
      </c>
      <c r="R1648" s="2022"/>
      <c r="S1648" s="2022"/>
      <c r="T1648" s="2022"/>
      <c r="U1648" s="2022"/>
      <c r="V1648" s="2022"/>
      <c r="W1648" s="2022"/>
      <c r="X1648" s="2022"/>
      <c r="Y1648" s="2022"/>
      <c r="Z1648" s="2022"/>
    </row>
    <row r="1649" spans="1:26" ht="15" customHeight="1">
      <c r="A1649" s="2022"/>
      <c r="B1649" s="2084" t="s">
        <v>4821</v>
      </c>
      <c r="C1649" s="2084"/>
      <c r="D1649" s="2084"/>
      <c r="E1649" s="2084"/>
      <c r="F1649" s="2084"/>
      <c r="G1649" s="2084"/>
      <c r="H1649" s="2084"/>
      <c r="I1649" s="2022"/>
      <c r="J1649" s="2022"/>
      <c r="K1649" s="2022"/>
      <c r="L1649" s="2022"/>
      <c r="M1649" s="2022"/>
      <c r="N1649" s="2022"/>
      <c r="O1649" s="1841" t="str">
        <f>IF(OR(AND(P1656&gt;0,P1657&gt;0),AND(P1657&gt;0,P1658&gt;0),AND(P1656&gt;0,P1658&gt;0)),"Choose A, B, or C.  See instructions.",IF(AND(P1658&gt;0,P1659&gt;0),"Choose A or B when choosing D.  See instructions.",""))</f>
        <v/>
      </c>
      <c r="P1649" s="1841"/>
      <c r="Q1649" s="1837"/>
      <c r="R1649" s="2022"/>
      <c r="S1649" s="2022"/>
      <c r="T1649" s="2022"/>
      <c r="U1649" s="2022"/>
      <c r="V1649" s="2022"/>
      <c r="W1649" s="2022"/>
      <c r="X1649" s="2022"/>
      <c r="Y1649" s="2022"/>
      <c r="Z1649" s="2022"/>
    </row>
    <row r="1650" spans="1:26" ht="13.5">
      <c r="A1650" s="2085"/>
      <c r="B1650" s="2084"/>
      <c r="C1650" s="2084"/>
      <c r="D1650" s="2084"/>
      <c r="E1650" s="2084"/>
      <c r="F1650" s="2084"/>
      <c r="G1650" s="2084"/>
      <c r="H1650" s="2084"/>
      <c r="I1650" s="1695" t="str">
        <f>'Part IX A-Scoring Criteria'!I96</f>
        <v>Earth Craft House Multifamily</v>
      </c>
      <c r="J1650" s="1695">
        <f>'Part IX A-Scoring Criteria'!J96</f>
        <v>0</v>
      </c>
      <c r="K1650" s="1695">
        <f>'Part IX A-Scoring Criteria'!K96</f>
        <v>0</v>
      </c>
      <c r="L1650" s="1695">
        <f>'Part IX A-Scoring Criteria'!L96</f>
        <v>0</v>
      </c>
      <c r="M1650" s="2085"/>
      <c r="N1650" s="2085"/>
      <c r="O1650" s="1841"/>
      <c r="P1650" s="1841"/>
      <c r="Q1650" s="2085"/>
      <c r="R1650" s="2085"/>
      <c r="S1650" s="2085"/>
      <c r="T1650" s="2085"/>
      <c r="U1650" s="2085"/>
      <c r="V1650" s="2085"/>
      <c r="W1650" s="2085"/>
      <c r="X1650" s="2085"/>
      <c r="Y1650" s="2085"/>
      <c r="Z1650" s="2085"/>
    </row>
    <row r="1651" spans="1:26" ht="15">
      <c r="A1651" s="2022"/>
      <c r="B1651" s="1844" t="s">
        <v>2812</v>
      </c>
      <c r="C1651" s="2022"/>
      <c r="D1651" s="2022"/>
      <c r="E1651" s="2022"/>
      <c r="F1651" s="2022"/>
      <c r="G1651" s="2058"/>
      <c r="H1651" s="2058"/>
      <c r="I1651" s="2086" t="str">
        <f>'Part I-Project Information'!$H$100</f>
        <v>Flexible</v>
      </c>
      <c r="J1651" s="2022"/>
      <c r="L1651" s="2022"/>
      <c r="M1651" s="1837"/>
      <c r="N1651" s="2083"/>
      <c r="O1651" s="1841"/>
      <c r="P1651" s="1841"/>
      <c r="Q1651" s="2022"/>
      <c r="R1651" s="2022"/>
      <c r="S1651" s="2022"/>
      <c r="T1651" s="2022"/>
      <c r="U1651" s="2022"/>
      <c r="V1651" s="2022"/>
      <c r="W1651" s="2022"/>
      <c r="X1651" s="2022"/>
      <c r="Y1651" s="2022"/>
      <c r="Z1651" s="2022"/>
    </row>
    <row r="1652" spans="1:26" ht="15">
      <c r="A1652" s="2022"/>
      <c r="B1652" s="1844" t="s">
        <v>4004</v>
      </c>
      <c r="C1652" s="2022"/>
      <c r="D1652" s="2022"/>
      <c r="E1652" s="2022"/>
      <c r="F1652" s="2022"/>
      <c r="G1652" s="2058"/>
      <c r="H1652" s="2058"/>
      <c r="I1652" s="1933"/>
      <c r="J1652" s="2022"/>
      <c r="L1652" s="2022"/>
      <c r="M1652" s="1837"/>
      <c r="N1652" s="2083"/>
      <c r="O1652" s="1841"/>
      <c r="P1652" s="1841"/>
      <c r="Q1652" s="2022"/>
      <c r="R1652" s="2022"/>
      <c r="S1652" s="2022"/>
      <c r="T1652" s="2022"/>
      <c r="U1652" s="2022"/>
      <c r="V1652" s="2022"/>
      <c r="W1652" s="2022"/>
      <c r="X1652" s="2022"/>
      <c r="Y1652" s="2022"/>
      <c r="Z1652" s="2022"/>
    </row>
    <row r="1653" spans="1:26" ht="13.5">
      <c r="A1653" s="2085"/>
      <c r="B1653" s="2085"/>
      <c r="C1653" s="1642" t="s">
        <v>4009</v>
      </c>
      <c r="D1653" s="2085"/>
      <c r="E1653" s="2085"/>
      <c r="F1653" s="2085"/>
      <c r="G1653" s="2085"/>
      <c r="H1653" s="2085"/>
      <c r="I1653" s="2021">
        <f>'Part IX A-Scoring Criteria'!I99</f>
        <v>100</v>
      </c>
      <c r="J1653" s="2021">
        <f>'Part IX A-Scoring Criteria'!J99</f>
        <v>0</v>
      </c>
      <c r="K1653" s="1876"/>
      <c r="L1653" s="2085"/>
      <c r="M1653" s="2085"/>
      <c r="N1653" s="2085"/>
      <c r="O1653" s="1841"/>
      <c r="P1653" s="1841"/>
      <c r="Q1653" s="2085"/>
      <c r="R1653" s="2085"/>
      <c r="S1653" s="2085"/>
      <c r="T1653" s="2085"/>
      <c r="U1653" s="2085"/>
      <c r="V1653" s="2085"/>
      <c r="W1653" s="2085"/>
      <c r="X1653" s="2085"/>
      <c r="Y1653" s="2085"/>
      <c r="Z1653" s="2085"/>
    </row>
    <row r="1654" spans="1:26" ht="13.5">
      <c r="A1654" s="2085"/>
      <c r="B1654" s="2085"/>
      <c r="C1654" s="1642" t="s">
        <v>4010</v>
      </c>
      <c r="D1654" s="2085"/>
      <c r="E1654" s="2085"/>
      <c r="F1654" s="2085"/>
      <c r="G1654" s="2085"/>
      <c r="H1654" s="2085"/>
      <c r="I1654" s="2021">
        <f>'Part IX A-Scoring Criteria'!I100</f>
        <v>116</v>
      </c>
      <c r="J1654" s="2021">
        <f>'Part IX A-Scoring Criteria'!J100</f>
        <v>0</v>
      </c>
      <c r="K1654" s="1876"/>
      <c r="L1654" s="2085"/>
      <c r="M1654" s="2085"/>
      <c r="N1654" s="2085"/>
      <c r="O1654" s="2085" t="s">
        <v>4018</v>
      </c>
      <c r="P1654" s="2085"/>
      <c r="Q1654" s="2085"/>
      <c r="R1654" s="2085"/>
      <c r="S1654" s="2085"/>
      <c r="T1654" s="2085"/>
      <c r="U1654" s="2085"/>
      <c r="V1654" s="2085"/>
      <c r="W1654" s="2085"/>
      <c r="X1654" s="2085"/>
      <c r="Y1654" s="2085"/>
      <c r="Z1654" s="2085"/>
    </row>
    <row r="1655" spans="1:26" ht="15">
      <c r="A1655" s="2023"/>
      <c r="B1655" s="1933"/>
      <c r="C1655" s="2022"/>
      <c r="D1655" s="2022"/>
      <c r="E1655" s="2022"/>
      <c r="F1655" s="2022"/>
      <c r="G1655" s="2058"/>
      <c r="H1655" s="2058"/>
      <c r="I1655" s="1933"/>
      <c r="J1655" s="2022"/>
      <c r="L1655" s="2022"/>
      <c r="M1655" s="1837"/>
      <c r="N1655" s="1837"/>
      <c r="O1655" s="1837"/>
      <c r="P1655" s="1837"/>
      <c r="Q1655" s="1837"/>
      <c r="R1655" s="2022"/>
      <c r="S1655" s="2022"/>
      <c r="T1655" s="2022"/>
      <c r="U1655" s="2022"/>
      <c r="V1655" s="2022"/>
      <c r="W1655" s="2022"/>
      <c r="X1655" s="2022"/>
      <c r="Y1655" s="2022"/>
      <c r="Z1655" s="2022"/>
    </row>
    <row r="1656" spans="1:26" ht="13.5" customHeight="1">
      <c r="A1656" s="1855" t="s">
        <v>1999</v>
      </c>
      <c r="B1656" s="1844" t="s">
        <v>4822</v>
      </c>
      <c r="D1656" s="1629"/>
      <c r="K1656" s="1799" t="str">
        <f>IF(OR(AND(O1656&gt;0,O1657&gt;0),AND(O1657&gt;0,O1658&gt;0),AND(O1656&gt;0,O1658&gt;0)),"Choose A, B, or C.  See instructions.",IF(AND(O1658&gt;0,O1659&gt;0),"Choose A or B when choosing D.  See instructions.",""))</f>
        <v/>
      </c>
      <c r="L1656" s="1799"/>
      <c r="M1656" s="2075">
        <v>2</v>
      </c>
      <c r="N1656" s="1977" t="s">
        <v>1999</v>
      </c>
      <c r="O1656" s="2060">
        <f>'Part IX A-Scoring Criteria'!O102</f>
        <v>0</v>
      </c>
      <c r="P1656" s="2060">
        <f>'Part IX A-Scoring Criteria'!P102</f>
        <v>0</v>
      </c>
      <c r="Q1656" s="2061" t="str">
        <f>IF(OR($O1656=$M1656,$O1656=0,$O1656=""),"","*CHECK!*")</f>
        <v/>
      </c>
      <c r="R1656" s="2062" t="s">
        <v>2724</v>
      </c>
    </row>
    <row r="1657" spans="1:26" ht="13.5" customHeight="1">
      <c r="A1657" s="1855" t="s">
        <v>2001</v>
      </c>
      <c r="B1657" s="1844" t="s">
        <v>312</v>
      </c>
      <c r="D1657" s="1629"/>
      <c r="E1657" s="1629"/>
      <c r="K1657" s="1799"/>
      <c r="L1657" s="1799"/>
      <c r="M1657" s="2075">
        <v>1</v>
      </c>
      <c r="N1657" s="1977" t="s">
        <v>2001</v>
      </c>
      <c r="O1657" s="2060">
        <f>'Part IX A-Scoring Criteria'!O103</f>
        <v>1</v>
      </c>
      <c r="P1657" s="2060">
        <f>'Part IX A-Scoring Criteria'!P103</f>
        <v>0</v>
      </c>
      <c r="Q1657" s="2061" t="str">
        <f t="shared" ref="Q1657:Q1659" si="323">IF(OR($O1657=$M1657,$O1657=0,$O1657=""),"","*CHECK!*")</f>
        <v/>
      </c>
      <c r="R1657" s="2062" t="s">
        <v>2724</v>
      </c>
    </row>
    <row r="1658" spans="1:26" ht="13.5" customHeight="1">
      <c r="A1658" s="1855" t="s">
        <v>757</v>
      </c>
      <c r="B1658" s="1844" t="s">
        <v>4823</v>
      </c>
      <c r="D1658" s="1629"/>
      <c r="E1658" s="1629"/>
      <c r="F1658" s="1629"/>
      <c r="K1658" s="1799"/>
      <c r="L1658" s="1799"/>
      <c r="M1658" s="2075">
        <v>3</v>
      </c>
      <c r="N1658" s="1977" t="s">
        <v>757</v>
      </c>
      <c r="O1658" s="2060">
        <f>'Part IX A-Scoring Criteria'!O104</f>
        <v>0</v>
      </c>
      <c r="P1658" s="2060">
        <f>'Part IX A-Scoring Criteria'!P104</f>
        <v>0</v>
      </c>
      <c r="Q1658" s="2061" t="str">
        <f t="shared" si="323"/>
        <v/>
      </c>
      <c r="R1658" s="2062" t="s">
        <v>2724</v>
      </c>
    </row>
    <row r="1659" spans="1:26" ht="13.5" customHeight="1">
      <c r="A1659" s="1855" t="s">
        <v>2131</v>
      </c>
      <c r="B1659" s="1844" t="s">
        <v>3804</v>
      </c>
      <c r="D1659" s="1629"/>
      <c r="E1659" s="1629"/>
      <c r="F1659" s="478" t="s">
        <v>4019</v>
      </c>
      <c r="J1659" s="1837">
        <f>'Part IX A-Scoring Criteria'!J105</f>
        <v>1</v>
      </c>
      <c r="K1659" s="1799"/>
      <c r="L1659" s="1799"/>
      <c r="M1659" s="2075">
        <v>1</v>
      </c>
      <c r="N1659" s="1977" t="s">
        <v>2131</v>
      </c>
      <c r="O1659" s="2060">
        <f>'Part IX A-Scoring Criteria'!O105</f>
        <v>1</v>
      </c>
      <c r="P1659" s="2060">
        <f>'Part IX A-Scoring Criteria'!P105</f>
        <v>0</v>
      </c>
      <c r="Q1659" s="2061" t="str">
        <f t="shared" si="323"/>
        <v/>
      </c>
      <c r="R1659" s="2062" t="s">
        <v>2724</v>
      </c>
    </row>
    <row r="1660" spans="1:26" ht="15">
      <c r="A1660" s="1629"/>
      <c r="B1660" s="2041" t="s">
        <v>3780</v>
      </c>
      <c r="C1660" s="1629"/>
      <c r="D1660" s="1830"/>
      <c r="E1660" s="1830"/>
      <c r="F1660" s="1830"/>
      <c r="G1660" s="1830"/>
      <c r="H1660" s="2040"/>
      <c r="I1660" s="2040"/>
      <c r="J1660" s="2040"/>
      <c r="K1660" s="478"/>
      <c r="L1660" s="2040"/>
      <c r="M1660" s="1828"/>
      <c r="N1660" s="1828"/>
      <c r="O1660" s="2021"/>
      <c r="P1660" s="1837"/>
      <c r="Q1660" s="2040"/>
      <c r="R1660" s="2040"/>
      <c r="S1660" s="2040"/>
      <c r="T1660" s="2040"/>
      <c r="U1660" s="2040"/>
      <c r="V1660" s="2040"/>
      <c r="W1660" s="2040"/>
      <c r="X1660" s="2040"/>
      <c r="Y1660" s="2040"/>
      <c r="Z1660" s="2040"/>
    </row>
    <row r="1661" spans="1:26" ht="409.5">
      <c r="A1661" s="1707" t="str">
        <f>'Part IX A-Scoring Criteria'!A107</f>
        <v xml:space="preserve">Tindall Fields III qualifies for points for this scoring section because Kathleen Mathews and Mark Strickland attended the Southface online seminar titled “Green Building for Affordable Housing” on April 20, 2018.  Their Certificates of Participation are at Tab 29-03-02.  For Section V-B:  we will achieve EarthCraft multifamily certification, as indicated by the worksheet at Tab 29-03-01. Per the worksheet, our expected score is 116; the minimum scoring requirement is 100. 
After submitting draft architectural plans to our qualified energy modeler (Ed Foskey with Synergy Home Advantage), he concluded that we are eligible for the point designated to the High Performance Building Design for having a worst case HERS Index that is at least 15% lower than the ENERGY STAR Target Index. The reports can be seen at Tab 29-05-01 &amp; Tab 29-05-02. 
</v>
      </c>
      <c r="B1661" s="1707">
        <f>'Part IX A-Scoring Criteria'!B107</f>
        <v>0</v>
      </c>
      <c r="C1661" s="1707">
        <f>'Part IX A-Scoring Criteria'!C107</f>
        <v>0</v>
      </c>
      <c r="D1661" s="1707">
        <f>'Part IX A-Scoring Criteria'!D107</f>
        <v>0</v>
      </c>
      <c r="E1661" s="1707">
        <f>'Part IX A-Scoring Criteria'!E107</f>
        <v>0</v>
      </c>
      <c r="F1661" s="1707">
        <f>'Part IX A-Scoring Criteria'!F107</f>
        <v>0</v>
      </c>
      <c r="G1661" s="1707">
        <f>'Part IX A-Scoring Criteria'!G107</f>
        <v>0</v>
      </c>
      <c r="H1661" s="1707">
        <f>'Part IX A-Scoring Criteria'!H107</f>
        <v>0</v>
      </c>
      <c r="I1661" s="1707">
        <f>'Part IX A-Scoring Criteria'!I107</f>
        <v>0</v>
      </c>
      <c r="J1661" s="1707">
        <f>'Part IX A-Scoring Criteria'!J107</f>
        <v>0</v>
      </c>
      <c r="K1661" s="1707">
        <f>'Part IX A-Scoring Criteria'!K107</f>
        <v>0</v>
      </c>
      <c r="L1661" s="1707">
        <f>'Part IX A-Scoring Criteria'!L107</f>
        <v>0</v>
      </c>
      <c r="M1661" s="1707">
        <f>'Part IX A-Scoring Criteria'!M107</f>
        <v>0</v>
      </c>
      <c r="N1661" s="1707">
        <f>'Part IX A-Scoring Criteria'!N107</f>
        <v>0</v>
      </c>
      <c r="O1661" s="1707">
        <f>'Part IX A-Scoring Criteria'!O107</f>
        <v>0</v>
      </c>
      <c r="P1661" s="1707">
        <f>'Part IX A-Scoring Criteria'!P107</f>
        <v>0</v>
      </c>
      <c r="Q1661" s="2030"/>
      <c r="R1661" s="2022"/>
      <c r="S1661" s="2022"/>
      <c r="T1661" s="2022"/>
      <c r="U1661" s="2022"/>
      <c r="V1661" s="2022"/>
      <c r="W1661" s="2022"/>
      <c r="X1661" s="2022"/>
      <c r="Y1661" s="2022"/>
      <c r="Z1661" s="2022"/>
    </row>
    <row r="1662" spans="1:26" ht="15">
      <c r="A1662" s="2022"/>
      <c r="B1662" s="1900" t="s">
        <v>1880</v>
      </c>
      <c r="C1662" s="1629"/>
      <c r="D1662" s="1937"/>
      <c r="E1662" s="1939"/>
      <c r="F1662" s="1939"/>
      <c r="G1662" s="1939"/>
      <c r="H1662" s="1939"/>
      <c r="I1662" s="1939"/>
      <c r="J1662" s="1939"/>
      <c r="K1662" s="1939"/>
      <c r="L1662" s="1939"/>
      <c r="M1662" s="1939"/>
      <c r="N1662" s="2057"/>
      <c r="O1662" s="2028"/>
      <c r="P1662" s="1837"/>
      <c r="Q1662" s="2053"/>
      <c r="R1662" s="2022"/>
      <c r="S1662" s="2022"/>
      <c r="T1662" s="2022"/>
      <c r="U1662" s="2022"/>
      <c r="V1662" s="2022"/>
      <c r="W1662" s="2022"/>
      <c r="X1662" s="2022"/>
      <c r="Y1662" s="2022"/>
      <c r="Z1662" s="2022"/>
    </row>
    <row r="1663" spans="1:26" ht="15.75">
      <c r="A1663" s="1707">
        <f>'Part IX A-Scoring Criteria'!A109</f>
        <v>0</v>
      </c>
      <c r="B1663" s="1707">
        <f>'Part IX A-Scoring Criteria'!B109</f>
        <v>0</v>
      </c>
      <c r="C1663" s="1707">
        <f>'Part IX A-Scoring Criteria'!C109</f>
        <v>0</v>
      </c>
      <c r="D1663" s="1707">
        <f>'Part IX A-Scoring Criteria'!D109</f>
        <v>0</v>
      </c>
      <c r="E1663" s="1707">
        <f>'Part IX A-Scoring Criteria'!E109</f>
        <v>0</v>
      </c>
      <c r="F1663" s="1707">
        <f>'Part IX A-Scoring Criteria'!F109</f>
        <v>0</v>
      </c>
      <c r="G1663" s="1707">
        <f>'Part IX A-Scoring Criteria'!G109</f>
        <v>0</v>
      </c>
      <c r="H1663" s="1707">
        <f>'Part IX A-Scoring Criteria'!H109</f>
        <v>0</v>
      </c>
      <c r="I1663" s="1707">
        <f>'Part IX A-Scoring Criteria'!I109</f>
        <v>0</v>
      </c>
      <c r="J1663" s="1707">
        <f>'Part IX A-Scoring Criteria'!J109</f>
        <v>0</v>
      </c>
      <c r="K1663" s="1707">
        <f>'Part IX A-Scoring Criteria'!K109</f>
        <v>0</v>
      </c>
      <c r="L1663" s="1707">
        <f>'Part IX A-Scoring Criteria'!L109</f>
        <v>0</v>
      </c>
      <c r="M1663" s="1707">
        <f>'Part IX A-Scoring Criteria'!M109</f>
        <v>0</v>
      </c>
      <c r="N1663" s="1707">
        <f>'Part IX A-Scoring Criteria'!N109</f>
        <v>0</v>
      </c>
      <c r="O1663" s="1707">
        <f>'Part IX A-Scoring Criteria'!O109</f>
        <v>0</v>
      </c>
      <c r="P1663" s="1707">
        <f>'Part IX A-Scoring Criteria'!P109</f>
        <v>0</v>
      </c>
      <c r="Q1663" s="2030"/>
      <c r="R1663" s="2022"/>
      <c r="S1663" s="2022"/>
      <c r="T1663" s="2022"/>
      <c r="U1663" s="2022"/>
      <c r="V1663" s="2022"/>
      <c r="W1663" s="2022"/>
      <c r="X1663" s="2022"/>
      <c r="Y1663" s="2022"/>
      <c r="Z1663" s="2022"/>
    </row>
    <row r="1664" spans="1:26" ht="15">
      <c r="A1664" s="1629"/>
      <c r="B1664" s="2022"/>
      <c r="C1664" s="2022"/>
      <c r="D1664" s="478"/>
      <c r="E1664" s="478"/>
      <c r="F1664" s="1837"/>
      <c r="G1664" s="1837"/>
      <c r="H1664" s="1837"/>
      <c r="I1664" s="1837"/>
      <c r="J1664" s="1872"/>
      <c r="K1664" s="1872"/>
      <c r="L1664" s="1872"/>
      <c r="M1664" s="1934"/>
      <c r="N1664" s="1837"/>
      <c r="O1664" s="1826"/>
      <c r="P1664" s="2021"/>
      <c r="Q1664" s="2022"/>
      <c r="R1664" s="2022"/>
      <c r="S1664" s="2022"/>
      <c r="T1664" s="2022"/>
      <c r="U1664" s="2022"/>
      <c r="V1664" s="2022"/>
      <c r="W1664" s="2022"/>
      <c r="X1664" s="2022"/>
      <c r="Y1664" s="2022"/>
      <c r="Z1664" s="2022"/>
    </row>
    <row r="1665" spans="1:26" ht="15">
      <c r="A1665" s="2023" t="s">
        <v>535</v>
      </c>
      <c r="B1665" s="2024" t="s">
        <v>4020</v>
      </c>
      <c r="C1665" s="2022"/>
      <c r="D1665" s="478"/>
      <c r="E1665" s="478"/>
      <c r="F1665" s="1837"/>
      <c r="G1665" s="1837"/>
      <c r="H1665" s="1837"/>
      <c r="I1665" s="2071" t="s">
        <v>4810</v>
      </c>
      <c r="J1665" s="1872"/>
      <c r="K1665" s="1872"/>
      <c r="L1665" s="1872"/>
      <c r="M1665" s="1837">
        <v>3</v>
      </c>
      <c r="N1665" s="1837"/>
      <c r="O1665" s="2021">
        <f>'Part IX A-Scoring Criteria'!O111</f>
        <v>3</v>
      </c>
      <c r="P1665" s="2021">
        <f>'Part IX A-Scoring Criteria'!P111</f>
        <v>0</v>
      </c>
      <c r="Q1665" s="1837" t="s">
        <v>443</v>
      </c>
      <c r="R1665" s="2022"/>
      <c r="S1665" s="2022"/>
      <c r="T1665" s="2022"/>
      <c r="U1665" s="2022"/>
      <c r="V1665" s="2022"/>
      <c r="W1665" s="2022"/>
      <c r="X1665" s="2022"/>
      <c r="Y1665" s="2022"/>
      <c r="Z1665" s="2022"/>
    </row>
    <row r="1666" spans="1:26" ht="15">
      <c r="A1666" s="1629"/>
      <c r="B1666" s="2022"/>
      <c r="C1666" s="2022"/>
      <c r="D1666" s="478"/>
      <c r="E1666" s="478"/>
      <c r="F1666" s="1837"/>
      <c r="G1666" s="1837"/>
      <c r="H1666" s="1837"/>
      <c r="I1666" s="1837"/>
      <c r="J1666" s="1872"/>
      <c r="K1666" s="1872"/>
      <c r="L1666" s="1872"/>
      <c r="M1666" s="1934"/>
      <c r="N1666" s="1837"/>
      <c r="O1666" s="1826"/>
      <c r="P1666" s="2021"/>
      <c r="Q1666" s="2022"/>
      <c r="R1666" s="2022"/>
      <c r="S1666" s="2022"/>
      <c r="T1666" s="2022"/>
      <c r="U1666" s="2022"/>
      <c r="V1666" s="2022"/>
      <c r="W1666" s="2022"/>
      <c r="X1666" s="2022"/>
      <c r="Y1666" s="2022"/>
      <c r="Z1666" s="2022"/>
    </row>
    <row r="1667" spans="1:26" ht="15">
      <c r="A1667" s="1855" t="s">
        <v>1999</v>
      </c>
      <c r="B1667" s="1844" t="s">
        <v>4021</v>
      </c>
      <c r="C1667" s="2040"/>
      <c r="D1667" s="2058"/>
      <c r="E1667" s="1156" t="s">
        <v>4146</v>
      </c>
      <c r="F1667" s="2022"/>
      <c r="G1667" s="1969"/>
      <c r="H1667" s="2022"/>
      <c r="I1667" s="1977" t="s">
        <v>4139</v>
      </c>
      <c r="J1667" s="1969" t="str">
        <f>'Part I-Project Information'!$H$78</f>
        <v>Family</v>
      </c>
      <c r="K1667" s="2058"/>
      <c r="L1667" s="1985" t="str">
        <f>IF(OR($O1667=$M1667,$O1667=0,$O1667=""),"","* * Check Score! * *")</f>
        <v/>
      </c>
      <c r="M1667" s="1828">
        <v>3</v>
      </c>
      <c r="N1667" s="1977" t="s">
        <v>1999</v>
      </c>
      <c r="O1667" s="2021">
        <f>'Part IX A-Scoring Criteria'!O113</f>
        <v>3</v>
      </c>
      <c r="P1667" s="2021">
        <f>'Part IX A-Scoring Criteria'!P113</f>
        <v>0</v>
      </c>
      <c r="Q1667" s="2061" t="str">
        <f>IF(OR($O1667=$M1667,$O1667=0,$O1667=""),"","*CHECK!*")</f>
        <v/>
      </c>
      <c r="R1667" s="2062" t="s">
        <v>2724</v>
      </c>
      <c r="S1667" s="2022"/>
      <c r="T1667" s="2022"/>
      <c r="U1667" s="2022"/>
      <c r="V1667" s="2022"/>
      <c r="W1667" s="2022"/>
      <c r="X1667" s="2022"/>
      <c r="Y1667" s="2022"/>
      <c r="Z1667" s="2022"/>
    </row>
    <row r="1668" spans="1:26" ht="15">
      <c r="A1668" s="1629"/>
      <c r="B1668" s="2022"/>
      <c r="C1668" s="2022"/>
      <c r="D1668" s="478"/>
      <c r="E1668" s="478"/>
      <c r="F1668" s="1837"/>
      <c r="G1668" s="1837"/>
      <c r="H1668" s="1837"/>
      <c r="I1668" s="1837"/>
      <c r="J1668" s="1872"/>
      <c r="K1668" s="1872"/>
      <c r="L1668" s="1872"/>
      <c r="M1668" s="1934"/>
      <c r="N1668" s="1837"/>
      <c r="O1668" s="1826"/>
      <c r="P1668" s="2021"/>
      <c r="Q1668" s="2022"/>
      <c r="R1668" s="2022"/>
      <c r="S1668" s="2022"/>
      <c r="T1668" s="2022"/>
      <c r="U1668" s="2022"/>
      <c r="V1668" s="2022"/>
      <c r="W1668" s="2022"/>
      <c r="X1668" s="2022"/>
      <c r="Y1668" s="2022"/>
      <c r="Z1668" s="2022"/>
    </row>
    <row r="1669" spans="1:26" ht="18.75">
      <c r="A1669" s="1855" t="s">
        <v>2001</v>
      </c>
      <c r="B1669" s="1844" t="s">
        <v>4023</v>
      </c>
      <c r="C1669" s="2040"/>
      <c r="D1669" s="2087"/>
      <c r="E1669" s="1681" t="s">
        <v>4254</v>
      </c>
      <c r="F1669" s="2022"/>
      <c r="G1669" s="1969"/>
      <c r="H1669" s="2022"/>
      <c r="I1669" s="2088"/>
      <c r="J1669" s="2058"/>
      <c r="K1669" s="2022"/>
      <c r="L1669" s="1985" t="str">
        <f>IF(OR($O1669&lt;=$M1669,$O1669=0,$O1669=""),"","* * Check Score! * *")</f>
        <v/>
      </c>
      <c r="M1669" s="1824">
        <v>3</v>
      </c>
      <c r="N1669" s="1977" t="s">
        <v>2001</v>
      </c>
      <c r="O1669" s="2021">
        <f>'Part IX A-Scoring Criteria'!O115</f>
        <v>0</v>
      </c>
      <c r="P1669" s="2021">
        <f>'Part IX A-Scoring Criteria'!P115</f>
        <v>0</v>
      </c>
      <c r="Q1669" s="2089"/>
      <c r="R1669" s="2089"/>
      <c r="S1669" s="2089"/>
      <c r="T1669" s="2089"/>
      <c r="U1669" s="2022"/>
      <c r="V1669" s="2022"/>
      <c r="W1669" s="2022"/>
      <c r="X1669" s="2022"/>
      <c r="Y1669" s="2022"/>
      <c r="Z1669" s="2022"/>
    </row>
    <row r="1670" spans="1:26" ht="18.75">
      <c r="A1670" s="1975"/>
      <c r="B1670" s="2090" t="s">
        <v>4176</v>
      </c>
      <c r="C1670" s="1872"/>
      <c r="D1670" s="2005"/>
      <c r="E1670" s="2005"/>
      <c r="F1670" s="2005"/>
      <c r="G1670" s="478"/>
      <c r="H1670" s="2091" t="str">
        <f>'Part IX A-Scoring Criteria'!H116</f>
        <v>&lt;&lt;Select&gt;&gt;</v>
      </c>
      <c r="I1670" s="2005"/>
      <c r="J1670" s="2005"/>
      <c r="K1670" s="2005"/>
      <c r="L1670" s="2005"/>
      <c r="M1670" s="1934"/>
      <c r="N1670" s="2059"/>
      <c r="O1670" s="478"/>
      <c r="P1670" s="478"/>
      <c r="Q1670" s="2089"/>
      <c r="R1670" s="2089"/>
      <c r="S1670" s="2089"/>
      <c r="T1670" s="2089"/>
      <c r="U1670" s="478"/>
      <c r="V1670" s="478"/>
      <c r="W1670" s="478"/>
      <c r="X1670" s="478"/>
      <c r="Y1670" s="478"/>
      <c r="Z1670" s="478"/>
    </row>
    <row r="1671" spans="1:26" ht="22.5">
      <c r="A1671" s="1975"/>
      <c r="B1671" s="478"/>
      <c r="C1671" s="2092" t="s">
        <v>4177</v>
      </c>
      <c r="D1671" s="1901">
        <f>'Part IX A-Scoring Criteria'!D117</f>
        <v>0</v>
      </c>
      <c r="E1671" s="1901">
        <f>'Part IX A-Scoring Criteria'!E117</f>
        <v>0</v>
      </c>
      <c r="F1671" s="1901">
        <f>'Part IX A-Scoring Criteria'!F117</f>
        <v>0</v>
      </c>
      <c r="G1671" s="1901">
        <f>'Part IX A-Scoring Criteria'!G117</f>
        <v>0</v>
      </c>
      <c r="H1671" s="1901">
        <f>'Part IX A-Scoring Criteria'!H117</f>
        <v>0</v>
      </c>
      <c r="I1671" s="1901">
        <f>'Part IX A-Scoring Criteria'!I117</f>
        <v>0</v>
      </c>
      <c r="J1671" s="1901">
        <f>'Part IX A-Scoring Criteria'!J117</f>
        <v>0</v>
      </c>
      <c r="K1671" s="1901">
        <f>'Part IX A-Scoring Criteria'!K117</f>
        <v>0</v>
      </c>
      <c r="L1671" s="1901">
        <f>'Part IX A-Scoring Criteria'!L117</f>
        <v>0</v>
      </c>
      <c r="M1671" s="1901">
        <f>'Part IX A-Scoring Criteria'!M117</f>
        <v>0</v>
      </c>
      <c r="N1671" s="1901">
        <f>'Part IX A-Scoring Criteria'!N117</f>
        <v>0</v>
      </c>
      <c r="O1671" s="1901">
        <f>'Part IX A-Scoring Criteria'!O117</f>
        <v>0</v>
      </c>
      <c r="P1671" s="1901">
        <f>'Part IX A-Scoring Criteria'!P117</f>
        <v>0</v>
      </c>
      <c r="Q1671" s="2089"/>
      <c r="R1671" s="2089"/>
      <c r="S1671" s="2089"/>
      <c r="T1671" s="2089"/>
      <c r="U1671" s="478"/>
      <c r="V1671" s="478"/>
      <c r="W1671" s="478"/>
      <c r="X1671" s="478"/>
      <c r="Y1671" s="478"/>
      <c r="Z1671" s="478"/>
    </row>
    <row r="1672" spans="1:26" ht="18.75">
      <c r="A1672" s="1629"/>
      <c r="B1672" s="2022"/>
      <c r="C1672" s="2022"/>
      <c r="D1672" s="478"/>
      <c r="E1672" s="478"/>
      <c r="F1672" s="1837"/>
      <c r="G1672" s="2022"/>
      <c r="H1672" s="1837"/>
      <c r="I1672" s="1837"/>
      <c r="J1672" s="1872"/>
      <c r="K1672" s="1872"/>
      <c r="L1672" s="1872"/>
      <c r="M1672" s="1934"/>
      <c r="N1672" s="1837"/>
      <c r="O1672" s="1826"/>
      <c r="P1672" s="2021"/>
      <c r="Q1672" s="2089"/>
      <c r="R1672" s="2089"/>
      <c r="S1672" s="2089"/>
      <c r="T1672" s="2089"/>
      <c r="U1672" s="2022"/>
      <c r="V1672" s="2022"/>
      <c r="W1672" s="2022"/>
      <c r="X1672" s="2022"/>
      <c r="Y1672" s="2022"/>
      <c r="Z1672" s="2022"/>
    </row>
    <row r="1673" spans="1:26" ht="18.75">
      <c r="A1673" s="1855"/>
      <c r="B1673" s="2093" t="s">
        <v>2002</v>
      </c>
      <c r="C1673" s="1844" t="s">
        <v>4024</v>
      </c>
      <c r="D1673" s="2040"/>
      <c r="E1673" s="2040"/>
      <c r="F1673" s="478"/>
      <c r="G1673" s="478"/>
      <c r="H1673" s="2040"/>
      <c r="I1673" s="2040"/>
      <c r="J1673" s="2040"/>
      <c r="K1673" s="2040"/>
      <c r="L1673" s="1985" t="str">
        <f>IF(OR($O1673=$M1673,$O1673=0,$O1673=""),"","* * Check Score! * *")</f>
        <v/>
      </c>
      <c r="M1673" s="1831">
        <v>2</v>
      </c>
      <c r="N1673" s="2059" t="s">
        <v>2002</v>
      </c>
      <c r="O1673" s="2021">
        <f>'Part IX A-Scoring Criteria'!O119</f>
        <v>0</v>
      </c>
      <c r="P1673" s="2021">
        <f>'Part IX A-Scoring Criteria'!P119</f>
        <v>0</v>
      </c>
      <c r="Q1673" s="2061" t="str">
        <f>IF(OR($O1673=$M1673,$O1673=0,$O1673=""),"","*CHECK!*")</f>
        <v/>
      </c>
      <c r="R1673" s="2062" t="s">
        <v>2724</v>
      </c>
      <c r="S1673" s="2089"/>
      <c r="T1673" s="2089"/>
      <c r="U1673" s="2040"/>
      <c r="V1673" s="2040"/>
      <c r="W1673" s="2040"/>
      <c r="X1673" s="2040"/>
      <c r="Y1673" s="2040"/>
      <c r="Z1673" s="2040"/>
    </row>
    <row r="1674" spans="1:26" ht="18.75">
      <c r="A1674" s="1855"/>
      <c r="B1674" s="2093"/>
      <c r="C1674" s="478" t="s">
        <v>4025</v>
      </c>
      <c r="D1674" s="2040"/>
      <c r="E1674" s="478"/>
      <c r="F1674" s="478"/>
      <c r="G1674" s="478"/>
      <c r="H1674" s="2040"/>
      <c r="I1674" s="2040"/>
      <c r="J1674" s="2040"/>
      <c r="K1674" s="2040"/>
      <c r="L1674" s="2040"/>
      <c r="M1674" s="1831"/>
      <c r="N1674" s="1831"/>
      <c r="O1674" s="1942">
        <f>'Part IX A-Scoring Criteria'!O120</f>
        <v>0</v>
      </c>
      <c r="P1674" s="1942">
        <f>'Part IX A-Scoring Criteria'!P120</f>
        <v>0</v>
      </c>
      <c r="Q1674" s="2089"/>
      <c r="R1674" s="2089"/>
      <c r="S1674" s="2089"/>
      <c r="T1674" s="2089"/>
      <c r="U1674" s="2040"/>
      <c r="V1674" s="2040"/>
      <c r="W1674" s="2040"/>
      <c r="X1674" s="2040"/>
      <c r="Y1674" s="2040"/>
      <c r="Z1674" s="2040"/>
    </row>
    <row r="1675" spans="1:26" ht="18.75">
      <c r="A1675" s="1855"/>
      <c r="B1675" s="2093"/>
      <c r="C1675" s="478" t="s">
        <v>4824</v>
      </c>
      <c r="D1675" s="1631" t="s">
        <v>4147</v>
      </c>
      <c r="E1675" s="2040"/>
      <c r="F1675" s="478"/>
      <c r="G1675" s="478"/>
      <c r="H1675" s="1792">
        <f>'Part IX A-Scoring Criteria'!H121</f>
        <v>0</v>
      </c>
      <c r="I1675" s="1792">
        <f>'Part IX A-Scoring Criteria'!I121</f>
        <v>0</v>
      </c>
      <c r="J1675" s="1792">
        <f>'Part IX A-Scoring Criteria'!J121</f>
        <v>0</v>
      </c>
      <c r="K1675" s="1792">
        <f>'Part IX A-Scoring Criteria'!K121</f>
        <v>0</v>
      </c>
      <c r="L1675" s="1792">
        <f>'Part IX A-Scoring Criteria'!L121</f>
        <v>0</v>
      </c>
      <c r="M1675" s="1792">
        <f>'Part IX A-Scoring Criteria'!M121</f>
        <v>0</v>
      </c>
      <c r="N1675" s="1792">
        <f>'Part IX A-Scoring Criteria'!N121</f>
        <v>0</v>
      </c>
      <c r="O1675" s="1792">
        <f>'Part IX A-Scoring Criteria'!O121</f>
        <v>0</v>
      </c>
      <c r="P1675" s="1792">
        <f>'Part IX A-Scoring Criteria'!P121</f>
        <v>0</v>
      </c>
      <c r="Q1675" s="2089"/>
      <c r="R1675" s="2089"/>
      <c r="S1675" s="2089"/>
      <c r="T1675" s="2089"/>
      <c r="U1675" s="2040"/>
      <c r="V1675" s="2040"/>
      <c r="W1675" s="2040"/>
      <c r="X1675" s="2040"/>
      <c r="Y1675" s="2040"/>
      <c r="Z1675" s="2040"/>
    </row>
    <row r="1676" spans="1:26" ht="18.75">
      <c r="A1676" s="1855"/>
      <c r="B1676" s="478"/>
      <c r="C1676" s="478" t="s">
        <v>4028</v>
      </c>
      <c r="D1676" s="2040"/>
      <c r="E1676" s="478"/>
      <c r="F1676" s="478"/>
      <c r="G1676" s="478"/>
      <c r="H1676" s="2040"/>
      <c r="I1676" s="2040"/>
      <c r="J1676" s="2040"/>
      <c r="K1676" s="2040"/>
      <c r="L1676" s="2040"/>
      <c r="M1676" s="1828"/>
      <c r="N1676" s="1987" t="s">
        <v>3809</v>
      </c>
      <c r="O1676" s="1942">
        <f>'Part IX A-Scoring Criteria'!O122</f>
        <v>0</v>
      </c>
      <c r="P1676" s="1942">
        <f>'Part IX A-Scoring Criteria'!P122</f>
        <v>0</v>
      </c>
      <c r="Q1676" s="2089"/>
      <c r="R1676" s="2089"/>
      <c r="S1676" s="2089"/>
      <c r="T1676" s="2089"/>
      <c r="U1676" s="2040"/>
      <c r="V1676" s="2040"/>
      <c r="W1676" s="2040"/>
      <c r="X1676" s="2040"/>
      <c r="Y1676" s="2040"/>
      <c r="Z1676" s="2040"/>
    </row>
    <row r="1677" spans="1:26" ht="18.75">
      <c r="A1677" s="1975"/>
      <c r="B1677" s="2094"/>
      <c r="C1677" s="478" t="s">
        <v>4029</v>
      </c>
      <c r="D1677" s="478"/>
      <c r="E1677" s="478"/>
      <c r="F1677" s="478"/>
      <c r="G1677" s="478"/>
      <c r="H1677" s="478"/>
      <c r="I1677" s="478"/>
      <c r="J1677" s="478"/>
      <c r="K1677" s="478"/>
      <c r="L1677" s="478"/>
      <c r="M1677" s="1934"/>
      <c r="N1677" s="1977" t="s">
        <v>3810</v>
      </c>
      <c r="O1677" s="1942">
        <f>'Part IX A-Scoring Criteria'!O123</f>
        <v>0</v>
      </c>
      <c r="P1677" s="1942">
        <f>'Part IX A-Scoring Criteria'!P123</f>
        <v>0</v>
      </c>
      <c r="Q1677" s="2089"/>
      <c r="R1677" s="2089"/>
      <c r="S1677" s="2089"/>
      <c r="T1677" s="2089"/>
      <c r="U1677" s="478"/>
      <c r="V1677" s="478"/>
      <c r="W1677" s="478"/>
      <c r="X1677" s="478"/>
      <c r="Y1677" s="478"/>
      <c r="Z1677" s="478"/>
    </row>
    <row r="1678" spans="1:26">
      <c r="A1678" s="1975"/>
      <c r="B1678" s="1156"/>
      <c r="C1678" s="1156" t="s">
        <v>4174</v>
      </c>
      <c r="D1678" s="1156"/>
      <c r="E1678" s="478"/>
      <c r="F1678" s="478"/>
      <c r="G1678" s="478"/>
      <c r="H1678" s="1156"/>
      <c r="I1678" s="1156"/>
      <c r="J1678" s="1156"/>
      <c r="K1678" s="1156"/>
      <c r="L1678" s="1999" t="s">
        <v>3846</v>
      </c>
      <c r="M1678" s="1999"/>
      <c r="N1678" s="1999"/>
      <c r="O1678" s="1999" t="s">
        <v>3845</v>
      </c>
      <c r="P1678" s="1999"/>
      <c r="Q1678" s="478"/>
      <c r="R1678" s="1156"/>
      <c r="S1678" s="1156"/>
      <c r="T1678" s="1156"/>
      <c r="U1678" s="1156"/>
      <c r="V1678" s="1156"/>
      <c r="W1678" s="1156"/>
      <c r="X1678" s="1156"/>
      <c r="Y1678" s="1156"/>
      <c r="Z1678" s="1156"/>
    </row>
    <row r="1679" spans="1:26">
      <c r="A1679" s="1975"/>
      <c r="B1679" s="1977"/>
      <c r="C1679" s="1936">
        <f>'Part IX A-Scoring Criteria'!C125</f>
        <v>0</v>
      </c>
      <c r="D1679" s="1936">
        <f>'Part IX A-Scoring Criteria'!D125</f>
        <v>0</v>
      </c>
      <c r="E1679" s="1936">
        <f>'Part IX A-Scoring Criteria'!E125</f>
        <v>0</v>
      </c>
      <c r="F1679" s="1936">
        <f>'Part IX A-Scoring Criteria'!F125</f>
        <v>0</v>
      </c>
      <c r="G1679" s="1936">
        <f>'Part IX A-Scoring Criteria'!G125</f>
        <v>0</v>
      </c>
      <c r="H1679" s="1936">
        <f>'Part IX A-Scoring Criteria'!H125</f>
        <v>0</v>
      </c>
      <c r="I1679" s="1936">
        <f>'Part IX A-Scoring Criteria'!I125</f>
        <v>0</v>
      </c>
      <c r="J1679" s="1936">
        <f>'Part IX A-Scoring Criteria'!J125</f>
        <v>0</v>
      </c>
      <c r="K1679" s="1936">
        <f>'Part IX A-Scoring Criteria'!K125</f>
        <v>0</v>
      </c>
      <c r="L1679" s="1961" t="str">
        <f>'Part IX A-Scoring Criteria'!L125</f>
        <v>&lt;&lt; Select &gt;&gt;</v>
      </c>
      <c r="M1679" s="1961">
        <f>'Part IX A-Scoring Criteria'!M125</f>
        <v>0</v>
      </c>
      <c r="N1679" s="1961">
        <f>'Part IX A-Scoring Criteria'!N125</f>
        <v>0</v>
      </c>
      <c r="O1679" s="2095">
        <f>'Part IX A-Scoring Criteria'!O125</f>
        <v>0</v>
      </c>
      <c r="P1679" s="2095">
        <f>'Part IX A-Scoring Criteria'!P125</f>
        <v>0</v>
      </c>
      <c r="Q1679" s="1933" t="str">
        <f>IF(O1679&gt;15, "Too much!","")</f>
        <v/>
      </c>
      <c r="R1679" s="1156"/>
      <c r="S1679" s="1156"/>
      <c r="T1679" s="1156"/>
      <c r="U1679" s="1156"/>
      <c r="V1679" s="1156"/>
      <c r="W1679" s="1156"/>
      <c r="X1679" s="1156"/>
      <c r="Y1679" s="1156"/>
      <c r="Z1679" s="1156"/>
    </row>
    <row r="1680" spans="1:26">
      <c r="A1680" s="1975"/>
      <c r="B1680" s="1987"/>
      <c r="C1680" s="1936">
        <f>'Part IX A-Scoring Criteria'!C126</f>
        <v>0</v>
      </c>
      <c r="D1680" s="1936">
        <f>'Part IX A-Scoring Criteria'!D126</f>
        <v>0</v>
      </c>
      <c r="E1680" s="1936">
        <f>'Part IX A-Scoring Criteria'!E126</f>
        <v>0</v>
      </c>
      <c r="F1680" s="1936">
        <f>'Part IX A-Scoring Criteria'!F126</f>
        <v>0</v>
      </c>
      <c r="G1680" s="1936">
        <f>'Part IX A-Scoring Criteria'!G126</f>
        <v>0</v>
      </c>
      <c r="H1680" s="1936">
        <f>'Part IX A-Scoring Criteria'!H126</f>
        <v>0</v>
      </c>
      <c r="I1680" s="1936">
        <f>'Part IX A-Scoring Criteria'!I126</f>
        <v>0</v>
      </c>
      <c r="J1680" s="1936">
        <f>'Part IX A-Scoring Criteria'!J126</f>
        <v>0</v>
      </c>
      <c r="K1680" s="1936">
        <f>'Part IX A-Scoring Criteria'!K126</f>
        <v>0</v>
      </c>
      <c r="L1680" s="1961" t="str">
        <f>'Part IX A-Scoring Criteria'!L126</f>
        <v>&lt;&lt; Select &gt;&gt;</v>
      </c>
      <c r="M1680" s="1961">
        <f>'Part IX A-Scoring Criteria'!M126</f>
        <v>0</v>
      </c>
      <c r="N1680" s="1961">
        <f>'Part IX A-Scoring Criteria'!N126</f>
        <v>0</v>
      </c>
      <c r="O1680" s="2095">
        <f>'Part IX A-Scoring Criteria'!O126</f>
        <v>0</v>
      </c>
      <c r="P1680" s="2095">
        <f>'Part IX A-Scoring Criteria'!P126</f>
        <v>0</v>
      </c>
      <c r="Q1680" s="1933" t="str">
        <f t="shared" ref="Q1680:Q1682" si="324">IF(O1680&gt;15, "Too much!","")</f>
        <v/>
      </c>
      <c r="R1680" s="1156"/>
      <c r="S1680" s="1156"/>
      <c r="T1680" s="1156"/>
      <c r="U1680" s="1156"/>
      <c r="V1680" s="1156"/>
      <c r="W1680" s="1156"/>
      <c r="X1680" s="1156"/>
      <c r="Y1680" s="1156"/>
      <c r="Z1680" s="1156"/>
    </row>
    <row r="1681" spans="1:26">
      <c r="A1681" s="1975"/>
      <c r="B1681" s="1977"/>
      <c r="C1681" s="1936">
        <f>'Part IX A-Scoring Criteria'!C127</f>
        <v>0</v>
      </c>
      <c r="D1681" s="1936">
        <f>'Part IX A-Scoring Criteria'!D127</f>
        <v>0</v>
      </c>
      <c r="E1681" s="1936">
        <f>'Part IX A-Scoring Criteria'!E127</f>
        <v>0</v>
      </c>
      <c r="F1681" s="1936">
        <f>'Part IX A-Scoring Criteria'!F127</f>
        <v>0</v>
      </c>
      <c r="G1681" s="1936">
        <f>'Part IX A-Scoring Criteria'!G127</f>
        <v>0</v>
      </c>
      <c r="H1681" s="1936">
        <f>'Part IX A-Scoring Criteria'!H127</f>
        <v>0</v>
      </c>
      <c r="I1681" s="1936">
        <f>'Part IX A-Scoring Criteria'!I127</f>
        <v>0</v>
      </c>
      <c r="J1681" s="1936">
        <f>'Part IX A-Scoring Criteria'!J127</f>
        <v>0</v>
      </c>
      <c r="K1681" s="1936">
        <f>'Part IX A-Scoring Criteria'!K127</f>
        <v>0</v>
      </c>
      <c r="L1681" s="1961" t="str">
        <f>'Part IX A-Scoring Criteria'!L127</f>
        <v>&lt;&lt; Select &gt;&gt;</v>
      </c>
      <c r="M1681" s="1961">
        <f>'Part IX A-Scoring Criteria'!M127</f>
        <v>0</v>
      </c>
      <c r="N1681" s="1961">
        <f>'Part IX A-Scoring Criteria'!N127</f>
        <v>0</v>
      </c>
      <c r="O1681" s="2095">
        <f>'Part IX A-Scoring Criteria'!O127</f>
        <v>0</v>
      </c>
      <c r="P1681" s="2095">
        <f>'Part IX A-Scoring Criteria'!P127</f>
        <v>0</v>
      </c>
      <c r="Q1681" s="1933" t="str">
        <f t="shared" si="324"/>
        <v/>
      </c>
      <c r="R1681" s="1156"/>
      <c r="S1681" s="1156"/>
      <c r="T1681" s="1156"/>
      <c r="U1681" s="1156"/>
      <c r="V1681" s="1156"/>
      <c r="W1681" s="1156"/>
      <c r="X1681" s="1156"/>
      <c r="Y1681" s="1156"/>
      <c r="Z1681" s="1156"/>
    </row>
    <row r="1682" spans="1:26">
      <c r="A1682" s="1975"/>
      <c r="B1682" s="1977"/>
      <c r="C1682" s="1936">
        <f>'Part IX A-Scoring Criteria'!C128</f>
        <v>0</v>
      </c>
      <c r="D1682" s="1936">
        <f>'Part IX A-Scoring Criteria'!D128</f>
        <v>0</v>
      </c>
      <c r="E1682" s="1936">
        <f>'Part IX A-Scoring Criteria'!E128</f>
        <v>0</v>
      </c>
      <c r="F1682" s="1936">
        <f>'Part IX A-Scoring Criteria'!F128</f>
        <v>0</v>
      </c>
      <c r="G1682" s="1936">
        <f>'Part IX A-Scoring Criteria'!G128</f>
        <v>0</v>
      </c>
      <c r="H1682" s="1936">
        <f>'Part IX A-Scoring Criteria'!H128</f>
        <v>0</v>
      </c>
      <c r="I1682" s="1936">
        <f>'Part IX A-Scoring Criteria'!I128</f>
        <v>0</v>
      </c>
      <c r="J1682" s="1936">
        <f>'Part IX A-Scoring Criteria'!J128</f>
        <v>0</v>
      </c>
      <c r="K1682" s="1936">
        <f>'Part IX A-Scoring Criteria'!K128</f>
        <v>0</v>
      </c>
      <c r="L1682" s="1961" t="str">
        <f>'Part IX A-Scoring Criteria'!L128</f>
        <v>&lt;&lt; Select &gt;&gt;</v>
      </c>
      <c r="M1682" s="1961">
        <f>'Part IX A-Scoring Criteria'!M128</f>
        <v>0</v>
      </c>
      <c r="N1682" s="1961">
        <f>'Part IX A-Scoring Criteria'!N128</f>
        <v>0</v>
      </c>
      <c r="O1682" s="2095">
        <f>'Part IX A-Scoring Criteria'!O128</f>
        <v>0</v>
      </c>
      <c r="P1682" s="2095">
        <f>'Part IX A-Scoring Criteria'!P128</f>
        <v>0</v>
      </c>
      <c r="Q1682" s="1933" t="str">
        <f t="shared" si="324"/>
        <v/>
      </c>
      <c r="R1682" s="1156"/>
      <c r="S1682" s="1156"/>
      <c r="T1682" s="1156"/>
      <c r="U1682" s="1156"/>
      <c r="V1682" s="1156"/>
      <c r="W1682" s="1156"/>
      <c r="X1682" s="1156"/>
      <c r="Y1682" s="1156"/>
      <c r="Z1682" s="1156"/>
    </row>
    <row r="1683" spans="1:26" ht="15">
      <c r="A1683" s="2040"/>
      <c r="B1683" s="2093"/>
      <c r="C1683" s="478" t="s">
        <v>4825</v>
      </c>
      <c r="D1683" s="478" t="s">
        <v>4030</v>
      </c>
      <c r="E1683" s="478"/>
      <c r="F1683" s="478"/>
      <c r="G1683" s="478"/>
      <c r="H1683" s="2040"/>
      <c r="I1683" s="2040"/>
      <c r="J1683" s="2040"/>
      <c r="K1683" s="2040"/>
      <c r="L1683" s="2040"/>
      <c r="M1683" s="2040"/>
      <c r="N1683" s="1987" t="s">
        <v>3809</v>
      </c>
      <c r="O1683" s="1942">
        <f>'Part IX A-Scoring Criteria'!O129</f>
        <v>0</v>
      </c>
      <c r="P1683" s="1942">
        <f>'Part IX A-Scoring Criteria'!P129</f>
        <v>0</v>
      </c>
      <c r="Q1683" s="1631"/>
      <c r="R1683" s="1156"/>
      <c r="S1683" s="1156"/>
      <c r="T1683" s="1156"/>
      <c r="U1683" s="1156"/>
      <c r="V1683" s="2040"/>
      <c r="W1683" s="2040"/>
      <c r="X1683" s="2040"/>
      <c r="Y1683" s="2040"/>
      <c r="Z1683" s="2040"/>
    </row>
    <row r="1684" spans="1:26" ht="15">
      <c r="A1684" s="1855"/>
      <c r="B1684" s="478"/>
      <c r="C1684" s="2040"/>
      <c r="D1684" s="478" t="s">
        <v>4031</v>
      </c>
      <c r="E1684" s="478"/>
      <c r="F1684" s="478"/>
      <c r="G1684" s="478"/>
      <c r="H1684" s="2040"/>
      <c r="I1684" s="2040"/>
      <c r="J1684" s="2040"/>
      <c r="K1684" s="2040"/>
      <c r="L1684" s="2040"/>
      <c r="M1684" s="1828"/>
      <c r="N1684" s="1977" t="s">
        <v>3810</v>
      </c>
      <c r="O1684" s="1942">
        <f>'Part IX A-Scoring Criteria'!O130</f>
        <v>0</v>
      </c>
      <c r="P1684" s="1942">
        <f>'Part IX A-Scoring Criteria'!P130</f>
        <v>0</v>
      </c>
      <c r="Q1684" s="1631"/>
      <c r="R1684" s="1156"/>
      <c r="S1684" s="1156"/>
      <c r="T1684" s="1156"/>
      <c r="U1684" s="1156"/>
      <c r="V1684" s="2040"/>
      <c r="W1684" s="2040"/>
      <c r="X1684" s="2040"/>
      <c r="Y1684" s="2040"/>
      <c r="Z1684" s="2040"/>
    </row>
    <row r="1685" spans="1:26">
      <c r="A1685" s="1975"/>
      <c r="B1685" s="2094"/>
      <c r="C1685" s="478"/>
      <c r="D1685" s="1156" t="s">
        <v>4179</v>
      </c>
      <c r="E1685" s="478"/>
      <c r="F1685" s="478"/>
      <c r="G1685" s="478"/>
      <c r="H1685" s="478"/>
      <c r="I1685" s="478"/>
      <c r="J1685" s="478"/>
      <c r="K1685" s="478"/>
      <c r="L1685" s="478"/>
      <c r="M1685" s="1934"/>
      <c r="N1685" s="478"/>
      <c r="O1685" s="478"/>
      <c r="P1685" s="478"/>
      <c r="Q1685" s="478"/>
      <c r="R1685" s="1156"/>
      <c r="S1685" s="1156"/>
      <c r="T1685" s="1156"/>
      <c r="U1685" s="1156"/>
      <c r="V1685" s="478"/>
      <c r="W1685" s="478"/>
      <c r="X1685" s="478"/>
      <c r="Y1685" s="478"/>
      <c r="Z1685" s="478"/>
    </row>
    <row r="1686" spans="1:26">
      <c r="A1686" s="1975"/>
      <c r="B1686" s="1975"/>
      <c r="C1686" s="1872" t="s">
        <v>4208</v>
      </c>
      <c r="D1686" s="1975"/>
      <c r="E1686" s="1975"/>
      <c r="F1686" s="1975"/>
      <c r="G1686" s="1942">
        <f>'Part IX A-Scoring Criteria'!G132</f>
        <v>0</v>
      </c>
      <c r="H1686" s="1942">
        <f>'Part IX A-Scoring Criteria'!H132</f>
        <v>0</v>
      </c>
      <c r="I1686" s="1872" t="s">
        <v>4211</v>
      </c>
      <c r="J1686" s="1156"/>
      <c r="K1686" s="1156"/>
      <c r="L1686" s="1975"/>
      <c r="M1686" s="1975"/>
      <c r="N1686" s="1975"/>
      <c r="O1686" s="1942">
        <f>'Part IX A-Scoring Criteria'!O132</f>
        <v>0</v>
      </c>
      <c r="P1686" s="1942">
        <f>'Part IX A-Scoring Criteria'!P132</f>
        <v>0</v>
      </c>
      <c r="Q1686" s="478"/>
      <c r="R1686" s="1156"/>
      <c r="S1686" s="1156"/>
      <c r="T1686" s="1156"/>
      <c r="U1686" s="1156"/>
      <c r="V1686" s="1156"/>
      <c r="W1686" s="1156"/>
      <c r="X1686" s="1156"/>
      <c r="Y1686" s="1156"/>
      <c r="Z1686" s="1156"/>
    </row>
    <row r="1687" spans="1:26">
      <c r="A1687" s="1975"/>
      <c r="B1687" s="1975"/>
      <c r="C1687" s="1872" t="s">
        <v>4209</v>
      </c>
      <c r="D1687" s="1975"/>
      <c r="E1687" s="1975"/>
      <c r="F1687" s="1975"/>
      <c r="G1687" s="1942">
        <f>'Part IX A-Scoring Criteria'!G133</f>
        <v>0</v>
      </c>
      <c r="H1687" s="1942">
        <f>'Part IX A-Scoring Criteria'!H133</f>
        <v>0</v>
      </c>
      <c r="I1687" s="478" t="s">
        <v>4212</v>
      </c>
      <c r="J1687" s="1156"/>
      <c r="K1687" s="1156"/>
      <c r="L1687" s="1975"/>
      <c r="M1687" s="1975"/>
      <c r="N1687" s="1975"/>
      <c r="O1687" s="1942">
        <f>'Part IX A-Scoring Criteria'!O133</f>
        <v>0</v>
      </c>
      <c r="P1687" s="1942">
        <f>'Part IX A-Scoring Criteria'!P133</f>
        <v>0</v>
      </c>
      <c r="Q1687" s="478"/>
      <c r="R1687" s="1156"/>
      <c r="S1687" s="1156"/>
      <c r="T1687" s="1156"/>
      <c r="U1687" s="1156"/>
      <c r="V1687" s="1156"/>
      <c r="W1687" s="1156"/>
      <c r="X1687" s="1156"/>
      <c r="Y1687" s="1156"/>
      <c r="Z1687" s="1156"/>
    </row>
    <row r="1688" spans="1:26">
      <c r="A1688" s="1975"/>
      <c r="B1688" s="1975"/>
      <c r="C1688" s="1872" t="s">
        <v>4210</v>
      </c>
      <c r="D1688" s="1975"/>
      <c r="E1688" s="1975"/>
      <c r="F1688" s="1975"/>
      <c r="G1688" s="1942">
        <f>'Part IX A-Scoring Criteria'!G134</f>
        <v>0</v>
      </c>
      <c r="H1688" s="1942">
        <f>'Part IX A-Scoring Criteria'!H134</f>
        <v>0</v>
      </c>
      <c r="I1688" s="1872" t="s">
        <v>4213</v>
      </c>
      <c r="J1688" s="1156"/>
      <c r="K1688" s="1156"/>
      <c r="L1688" s="1975"/>
      <c r="M1688" s="1975"/>
      <c r="N1688" s="1975"/>
      <c r="O1688" s="1942">
        <f>'Part IX A-Scoring Criteria'!O134</f>
        <v>0</v>
      </c>
      <c r="P1688" s="1942">
        <f>'Part IX A-Scoring Criteria'!P134</f>
        <v>0</v>
      </c>
      <c r="Q1688" s="478"/>
      <c r="R1688" s="1156"/>
      <c r="S1688" s="1156"/>
      <c r="T1688" s="1156"/>
      <c r="U1688" s="1156"/>
      <c r="V1688" s="1156"/>
      <c r="W1688" s="1156"/>
      <c r="X1688" s="1156"/>
      <c r="Y1688" s="1156"/>
      <c r="Z1688" s="1156"/>
    </row>
    <row r="1689" spans="1:26" ht="12.75" customHeight="1">
      <c r="A1689" s="1975"/>
      <c r="B1689" s="1975"/>
      <c r="C1689" s="1792" t="str">
        <f>'Part IX A-Scoring Criteria'!C135</f>
        <v>• Other: Describe here</v>
      </c>
      <c r="D1689" s="1792">
        <f>'Part IX A-Scoring Criteria'!D135</f>
        <v>0</v>
      </c>
      <c r="E1689" s="1792">
        <f>'Part IX A-Scoring Criteria'!E135</f>
        <v>0</v>
      </c>
      <c r="F1689" s="1792">
        <f>'Part IX A-Scoring Criteria'!F135</f>
        <v>0</v>
      </c>
      <c r="G1689" s="1942">
        <f>'Part IX A-Scoring Criteria'!G135</f>
        <v>0</v>
      </c>
      <c r="H1689" s="1942">
        <f>'Part IX A-Scoring Criteria'!H135</f>
        <v>0</v>
      </c>
      <c r="I1689" s="1792" t="str">
        <f>'Part IX A-Scoring Criteria'!I135</f>
        <v xml:space="preserve">    • Other: Describe here</v>
      </c>
      <c r="J1689" s="1792">
        <f>'Part IX A-Scoring Criteria'!J135</f>
        <v>0</v>
      </c>
      <c r="K1689" s="1792">
        <f>'Part IX A-Scoring Criteria'!K135</f>
        <v>0</v>
      </c>
      <c r="L1689" s="1792">
        <f>'Part IX A-Scoring Criteria'!L135</f>
        <v>0</v>
      </c>
      <c r="M1689" s="1792">
        <f>'Part IX A-Scoring Criteria'!M135</f>
        <v>0</v>
      </c>
      <c r="N1689" s="1792">
        <f>'Part IX A-Scoring Criteria'!N135</f>
        <v>0</v>
      </c>
      <c r="O1689" s="1942">
        <f>'Part IX A-Scoring Criteria'!O135</f>
        <v>0</v>
      </c>
      <c r="P1689" s="1942">
        <f>'Part IX A-Scoring Criteria'!P135</f>
        <v>0</v>
      </c>
      <c r="Q1689" s="478"/>
      <c r="R1689" s="1156"/>
      <c r="S1689" s="1156"/>
      <c r="T1689" s="1156"/>
      <c r="U1689" s="1156"/>
      <c r="V1689" s="1156"/>
      <c r="W1689" s="1156"/>
      <c r="X1689" s="1156"/>
      <c r="Y1689" s="1156"/>
      <c r="Z1689" s="1156"/>
    </row>
    <row r="1690" spans="1:26" ht="15">
      <c r="A1690" s="1976"/>
      <c r="B1690" s="2073"/>
      <c r="C1690" s="2096"/>
      <c r="D1690" s="2096"/>
      <c r="E1690" s="2096"/>
      <c r="F1690" s="2096"/>
      <c r="G1690" s="2096"/>
      <c r="H1690" s="2096"/>
      <c r="I1690" s="2096"/>
      <c r="J1690" s="2096"/>
      <c r="K1690" s="2096"/>
      <c r="L1690" s="2096"/>
      <c r="M1690" s="2075"/>
      <c r="N1690" s="2097"/>
      <c r="O1690" s="2097"/>
      <c r="P1690" s="2097"/>
      <c r="Q1690" s="2037"/>
      <c r="R1690" s="2073"/>
      <c r="S1690" s="2073"/>
      <c r="T1690" s="2073"/>
      <c r="U1690" s="2073"/>
      <c r="V1690" s="2073"/>
      <c r="W1690" s="2073"/>
      <c r="X1690" s="2073"/>
      <c r="Y1690" s="2073"/>
      <c r="Z1690" s="2073"/>
    </row>
    <row r="1691" spans="1:26" ht="18.75">
      <c r="A1691" s="1976"/>
      <c r="B1691" s="2098" t="s">
        <v>2004</v>
      </c>
      <c r="C1691" s="2077" t="s">
        <v>3847</v>
      </c>
      <c r="D1691" s="1961"/>
      <c r="E1691" s="2073"/>
      <c r="F1691" s="1961"/>
      <c r="G1691" s="1961"/>
      <c r="H1691" s="1961"/>
      <c r="I1691" s="1961"/>
      <c r="J1691" s="1961"/>
      <c r="K1691" s="1961"/>
      <c r="L1691" s="1985" t="str">
        <f>IF(OR($O1691=$M1691,$O1691=0,$O1691=""),"","* * Check Score! * *")</f>
        <v/>
      </c>
      <c r="M1691" s="1323">
        <v>1</v>
      </c>
      <c r="N1691" s="2059" t="s">
        <v>2004</v>
      </c>
      <c r="O1691" s="2021">
        <f>'Part IX A-Scoring Criteria'!O137</f>
        <v>0</v>
      </c>
      <c r="P1691" s="2021">
        <f>'Part IX A-Scoring Criteria'!P137</f>
        <v>0</v>
      </c>
      <c r="Q1691" s="2061" t="str">
        <f>IF(OR($O1691=$M1691,$O1691=0,$O1691=""),"","*CHECK!*")</f>
        <v/>
      </c>
      <c r="R1691" s="2062" t="s">
        <v>2724</v>
      </c>
      <c r="S1691" s="2089"/>
      <c r="T1691" s="2089"/>
      <c r="U1691" s="2089"/>
      <c r="V1691" s="2073"/>
      <c r="W1691" s="2073"/>
      <c r="X1691" s="2073"/>
      <c r="Y1691" s="2073"/>
      <c r="Z1691" s="2073"/>
    </row>
    <row r="1692" spans="1:26" ht="18.75">
      <c r="A1692" s="1975"/>
      <c r="B1692" s="478"/>
      <c r="C1692" s="478" t="s">
        <v>4032</v>
      </c>
      <c r="D1692" s="2005"/>
      <c r="E1692" s="2005"/>
      <c r="F1692" s="2005"/>
      <c r="G1692" s="2005"/>
      <c r="H1692" s="2005"/>
      <c r="I1692" s="2005"/>
      <c r="J1692" s="2005"/>
      <c r="K1692" s="2005"/>
      <c r="L1692" s="2005"/>
      <c r="M1692" s="1934"/>
      <c r="N1692" s="478"/>
      <c r="O1692" s="1942">
        <f>'Part IX A-Scoring Criteria'!O138</f>
        <v>0</v>
      </c>
      <c r="P1692" s="1942">
        <f>'Part IX A-Scoring Criteria'!P138</f>
        <v>0</v>
      </c>
      <c r="Q1692" s="478"/>
      <c r="R1692" s="2089"/>
      <c r="S1692" s="2089"/>
      <c r="T1692" s="2089"/>
      <c r="U1692" s="2089"/>
      <c r="V1692" s="478"/>
      <c r="W1692" s="478"/>
      <c r="X1692" s="478"/>
      <c r="Y1692" s="478"/>
      <c r="Z1692" s="478"/>
    </row>
    <row r="1693" spans="1:26" ht="18.75">
      <c r="A1693" s="1975"/>
      <c r="B1693" s="2093"/>
      <c r="C1693" s="478" t="s">
        <v>4826</v>
      </c>
      <c r="D1693" s="2005"/>
      <c r="E1693" s="2005"/>
      <c r="F1693" s="2005"/>
      <c r="G1693" s="1872" t="s">
        <v>4034</v>
      </c>
      <c r="H1693" s="478"/>
      <c r="I1693" s="2005"/>
      <c r="J1693" s="2005"/>
      <c r="K1693" s="2005"/>
      <c r="L1693" s="2005"/>
      <c r="M1693" s="1977" t="s">
        <v>2451</v>
      </c>
      <c r="N1693" s="1977" t="s">
        <v>3809</v>
      </c>
      <c r="O1693" s="1942">
        <f>'Part IX A-Scoring Criteria'!O139</f>
        <v>0</v>
      </c>
      <c r="P1693" s="1942">
        <f>'Part IX A-Scoring Criteria'!P139</f>
        <v>0</v>
      </c>
      <c r="Q1693" s="478"/>
      <c r="R1693" s="2089"/>
      <c r="S1693" s="2089"/>
      <c r="T1693" s="2089"/>
      <c r="U1693" s="2089"/>
      <c r="V1693" s="478"/>
      <c r="W1693" s="478"/>
      <c r="X1693" s="478"/>
      <c r="Y1693" s="478"/>
      <c r="Z1693" s="478"/>
    </row>
    <row r="1694" spans="1:26" ht="18.75">
      <c r="A1694" s="1975"/>
      <c r="B1694" s="2094"/>
      <c r="C1694" s="478"/>
      <c r="D1694" s="2005"/>
      <c r="E1694" s="2005"/>
      <c r="F1694" s="2005"/>
      <c r="G1694" s="1872" t="s">
        <v>4035</v>
      </c>
      <c r="H1694" s="478"/>
      <c r="I1694" s="2005"/>
      <c r="J1694" s="2005"/>
      <c r="K1694" s="2005"/>
      <c r="L1694" s="2005"/>
      <c r="M1694" s="1934"/>
      <c r="N1694" s="1987" t="s">
        <v>3810</v>
      </c>
      <c r="O1694" s="1942">
        <f>'Part IX A-Scoring Criteria'!O140</f>
        <v>0</v>
      </c>
      <c r="P1694" s="1942">
        <f>'Part IX A-Scoring Criteria'!P140</f>
        <v>0</v>
      </c>
      <c r="Q1694" s="478"/>
      <c r="R1694" s="2089"/>
      <c r="S1694" s="2089"/>
      <c r="T1694" s="2089"/>
      <c r="U1694" s="2089"/>
      <c r="V1694" s="478"/>
      <c r="W1694" s="478"/>
      <c r="X1694" s="478"/>
      <c r="Y1694" s="478"/>
      <c r="Z1694" s="478"/>
    </row>
    <row r="1695" spans="1:26" ht="18.75">
      <c r="A1695" s="1977"/>
      <c r="B1695" s="2094"/>
      <c r="C1695" s="478"/>
      <c r="D1695" s="2005"/>
      <c r="E1695" s="2005"/>
      <c r="F1695" s="2005"/>
      <c r="G1695" s="1872" t="s">
        <v>4036</v>
      </c>
      <c r="H1695" s="478"/>
      <c r="I1695" s="2005"/>
      <c r="J1695" s="2005"/>
      <c r="K1695" s="2005"/>
      <c r="L1695" s="2005"/>
      <c r="M1695" s="1934"/>
      <c r="N1695" s="1977" t="s">
        <v>3811</v>
      </c>
      <c r="O1695" s="1942">
        <f>'Part IX A-Scoring Criteria'!O141</f>
        <v>0</v>
      </c>
      <c r="P1695" s="1942">
        <f>'Part IX A-Scoring Criteria'!P141</f>
        <v>0</v>
      </c>
      <c r="Q1695" s="478"/>
      <c r="R1695" s="2089"/>
      <c r="S1695" s="2089"/>
      <c r="T1695" s="2089"/>
      <c r="U1695" s="2089"/>
      <c r="V1695" s="478"/>
      <c r="W1695" s="478"/>
      <c r="X1695" s="478"/>
      <c r="Y1695" s="478"/>
      <c r="Z1695" s="478"/>
    </row>
    <row r="1696" spans="1:26" ht="18.75">
      <c r="A1696" s="1975"/>
      <c r="B1696" s="2094"/>
      <c r="C1696" s="478"/>
      <c r="D1696" s="2005"/>
      <c r="E1696" s="2005"/>
      <c r="F1696" s="2005"/>
      <c r="G1696" s="1872" t="s">
        <v>4037</v>
      </c>
      <c r="H1696" s="478"/>
      <c r="I1696" s="2005"/>
      <c r="J1696" s="2005"/>
      <c r="K1696" s="2005"/>
      <c r="L1696" s="2005"/>
      <c r="M1696" s="1934"/>
      <c r="N1696" s="1977" t="s">
        <v>3813</v>
      </c>
      <c r="O1696" s="1942">
        <f>'Part IX A-Scoring Criteria'!O142</f>
        <v>0</v>
      </c>
      <c r="P1696" s="1942">
        <f>'Part IX A-Scoring Criteria'!P142</f>
        <v>0</v>
      </c>
      <c r="Q1696" s="478"/>
      <c r="R1696" s="2089"/>
      <c r="S1696" s="2089"/>
      <c r="T1696" s="2089"/>
      <c r="U1696" s="2089"/>
      <c r="V1696" s="478"/>
      <c r="W1696" s="478"/>
      <c r="X1696" s="478"/>
      <c r="Y1696" s="478"/>
      <c r="Z1696" s="478"/>
    </row>
    <row r="1697" spans="1:26">
      <c r="A1697" s="1975"/>
      <c r="B1697" s="2094"/>
      <c r="C1697" s="478"/>
      <c r="D1697" s="2005"/>
      <c r="E1697" s="2005"/>
      <c r="F1697" s="2005"/>
      <c r="G1697" s="1872" t="s">
        <v>4038</v>
      </c>
      <c r="H1697" s="478"/>
      <c r="I1697" s="2005"/>
      <c r="J1697" s="2005"/>
      <c r="K1697" s="2005"/>
      <c r="L1697" s="2005"/>
      <c r="M1697" s="1934"/>
      <c r="N1697" s="1987" t="s">
        <v>3814</v>
      </c>
      <c r="O1697" s="1942">
        <f>'Part IX A-Scoring Criteria'!O143</f>
        <v>0</v>
      </c>
      <c r="P1697" s="1942">
        <f>'Part IX A-Scoring Criteria'!P143</f>
        <v>0</v>
      </c>
      <c r="Q1697" s="478"/>
      <c r="R1697" s="478"/>
      <c r="S1697" s="478"/>
      <c r="T1697" s="478"/>
      <c r="U1697" s="478"/>
      <c r="V1697" s="478"/>
      <c r="W1697" s="478"/>
      <c r="X1697" s="478"/>
      <c r="Y1697" s="478"/>
      <c r="Z1697" s="478"/>
    </row>
    <row r="1698" spans="1:26">
      <c r="A1698" s="1975"/>
      <c r="B1698" s="2093"/>
      <c r="C1698" s="1872" t="s">
        <v>4827</v>
      </c>
      <c r="D1698" s="2005"/>
      <c r="E1698" s="2005"/>
      <c r="F1698" s="2005"/>
      <c r="G1698" s="2005"/>
      <c r="H1698" s="2005"/>
      <c r="I1698" s="2005"/>
      <c r="J1698" s="2005"/>
      <c r="K1698" s="2005"/>
      <c r="L1698" s="2005"/>
      <c r="M1698" s="1977"/>
      <c r="N1698" s="1977" t="s">
        <v>2452</v>
      </c>
      <c r="O1698" s="1942">
        <f>'Part IX A-Scoring Criteria'!O144</f>
        <v>0</v>
      </c>
      <c r="P1698" s="1942">
        <f>'Part IX A-Scoring Criteria'!P144</f>
        <v>0</v>
      </c>
      <c r="Q1698" s="478"/>
      <c r="R1698" s="478"/>
      <c r="S1698" s="478"/>
      <c r="T1698" s="478"/>
      <c r="U1698" s="478"/>
      <c r="V1698" s="478"/>
      <c r="W1698" s="478"/>
      <c r="X1698" s="478"/>
      <c r="Y1698" s="478"/>
      <c r="Z1698" s="478"/>
    </row>
    <row r="1699" spans="1:26">
      <c r="A1699" s="1975"/>
      <c r="B1699" s="2074"/>
      <c r="C1699" s="1156" t="s">
        <v>3862</v>
      </c>
      <c r="D1699" s="1156"/>
      <c r="E1699" s="478"/>
      <c r="F1699" s="478"/>
      <c r="G1699" s="1156" t="s">
        <v>4180</v>
      </c>
      <c r="H1699" s="1156"/>
      <c r="I1699" s="1156"/>
      <c r="J1699" s="1156"/>
      <c r="K1699" s="1156"/>
      <c r="L1699" s="1156"/>
      <c r="M1699" s="1999"/>
      <c r="N1699" s="1999"/>
      <c r="O1699" s="1999"/>
      <c r="P1699" s="1999"/>
      <c r="Q1699" s="478"/>
      <c r="R1699" s="1156"/>
      <c r="S1699" s="1156"/>
      <c r="T1699" s="1156"/>
      <c r="U1699" s="1156"/>
      <c r="V1699" s="1156"/>
      <c r="W1699" s="1156"/>
      <c r="X1699" s="1156"/>
      <c r="Y1699" s="1156"/>
      <c r="Z1699" s="1156"/>
    </row>
    <row r="1700" spans="1:26">
      <c r="A1700" s="1975"/>
      <c r="B1700" s="1977"/>
      <c r="C1700" s="1936">
        <f>'Part IX A-Scoring Criteria'!C146</f>
        <v>0</v>
      </c>
      <c r="D1700" s="1936">
        <f>'Part IX A-Scoring Criteria'!D146</f>
        <v>0</v>
      </c>
      <c r="E1700" s="1936">
        <f>'Part IX A-Scoring Criteria'!E146</f>
        <v>0</v>
      </c>
      <c r="F1700" s="1936">
        <f>'Part IX A-Scoring Criteria'!F146</f>
        <v>0</v>
      </c>
      <c r="G1700" s="1936">
        <f>'Part IX A-Scoring Criteria'!G146</f>
        <v>0</v>
      </c>
      <c r="H1700" s="1936">
        <f>'Part IX A-Scoring Criteria'!H146</f>
        <v>0</v>
      </c>
      <c r="I1700" s="1936">
        <f>'Part IX A-Scoring Criteria'!I146</f>
        <v>0</v>
      </c>
      <c r="J1700" s="1936">
        <f>'Part IX A-Scoring Criteria'!J146</f>
        <v>0</v>
      </c>
      <c r="K1700" s="1936">
        <f>'Part IX A-Scoring Criteria'!K146</f>
        <v>0</v>
      </c>
      <c r="L1700" s="1936">
        <f>'Part IX A-Scoring Criteria'!L146</f>
        <v>0</v>
      </c>
      <c r="M1700" s="1936">
        <f>'Part IX A-Scoring Criteria'!M146</f>
        <v>0</v>
      </c>
      <c r="N1700" s="1936">
        <f>'Part IX A-Scoring Criteria'!N146</f>
        <v>0</v>
      </c>
      <c r="O1700" s="1936">
        <f>'Part IX A-Scoring Criteria'!O146</f>
        <v>0</v>
      </c>
      <c r="P1700" s="1936">
        <f>'Part IX A-Scoring Criteria'!P146</f>
        <v>0</v>
      </c>
      <c r="Q1700" s="478"/>
      <c r="R1700" s="1156"/>
      <c r="S1700" s="1156"/>
      <c r="T1700" s="1156"/>
      <c r="U1700" s="1156"/>
      <c r="V1700" s="1156"/>
      <c r="W1700" s="1156"/>
      <c r="X1700" s="1156"/>
      <c r="Y1700" s="1156"/>
      <c r="Z1700" s="1156"/>
    </row>
    <row r="1701" spans="1:26">
      <c r="A1701" s="1975"/>
      <c r="B1701" s="1987"/>
      <c r="C1701" s="1936">
        <f>'Part IX A-Scoring Criteria'!C147</f>
        <v>0</v>
      </c>
      <c r="D1701" s="1936">
        <f>'Part IX A-Scoring Criteria'!D147</f>
        <v>0</v>
      </c>
      <c r="E1701" s="1936">
        <f>'Part IX A-Scoring Criteria'!E147</f>
        <v>0</v>
      </c>
      <c r="F1701" s="1936">
        <f>'Part IX A-Scoring Criteria'!F147</f>
        <v>0</v>
      </c>
      <c r="G1701" s="1936">
        <f>'Part IX A-Scoring Criteria'!G147</f>
        <v>0</v>
      </c>
      <c r="H1701" s="1936">
        <f>'Part IX A-Scoring Criteria'!H147</f>
        <v>0</v>
      </c>
      <c r="I1701" s="1936">
        <f>'Part IX A-Scoring Criteria'!I147</f>
        <v>0</v>
      </c>
      <c r="J1701" s="1936">
        <f>'Part IX A-Scoring Criteria'!J147</f>
        <v>0</v>
      </c>
      <c r="K1701" s="1936">
        <f>'Part IX A-Scoring Criteria'!K147</f>
        <v>0</v>
      </c>
      <c r="L1701" s="1936">
        <f>'Part IX A-Scoring Criteria'!L147</f>
        <v>0</v>
      </c>
      <c r="M1701" s="1936">
        <f>'Part IX A-Scoring Criteria'!M147</f>
        <v>0</v>
      </c>
      <c r="N1701" s="1936">
        <f>'Part IX A-Scoring Criteria'!N147</f>
        <v>0</v>
      </c>
      <c r="O1701" s="1936">
        <f>'Part IX A-Scoring Criteria'!O147</f>
        <v>0</v>
      </c>
      <c r="P1701" s="1936">
        <f>'Part IX A-Scoring Criteria'!P147</f>
        <v>0</v>
      </c>
      <c r="Q1701" s="478"/>
      <c r="R1701" s="1156"/>
      <c r="S1701" s="1156"/>
      <c r="T1701" s="1156"/>
      <c r="U1701" s="1156"/>
      <c r="V1701" s="1156"/>
      <c r="W1701" s="1156"/>
      <c r="X1701" s="1156"/>
      <c r="Y1701" s="1156"/>
      <c r="Z1701" s="1156"/>
    </row>
    <row r="1702" spans="1:26" ht="12.75" customHeight="1">
      <c r="A1702" s="1792" t="s">
        <v>4216</v>
      </c>
      <c r="B1702" s="1792"/>
      <c r="C1702" s="1936">
        <f>'Part IX A-Scoring Criteria'!C148</f>
        <v>0</v>
      </c>
      <c r="D1702" s="1936">
        <f>'Part IX A-Scoring Criteria'!D148</f>
        <v>0</v>
      </c>
      <c r="E1702" s="1936">
        <f>'Part IX A-Scoring Criteria'!E148</f>
        <v>0</v>
      </c>
      <c r="F1702" s="1936">
        <f>'Part IX A-Scoring Criteria'!F148</f>
        <v>0</v>
      </c>
      <c r="G1702" s="1936">
        <f>'Part IX A-Scoring Criteria'!G148</f>
        <v>0</v>
      </c>
      <c r="H1702" s="1936">
        <f>'Part IX A-Scoring Criteria'!H148</f>
        <v>0</v>
      </c>
      <c r="I1702" s="1936">
        <f>'Part IX A-Scoring Criteria'!I148</f>
        <v>0</v>
      </c>
      <c r="J1702" s="1936">
        <f>'Part IX A-Scoring Criteria'!J148</f>
        <v>0</v>
      </c>
      <c r="K1702" s="1936">
        <f>'Part IX A-Scoring Criteria'!K148</f>
        <v>0</v>
      </c>
      <c r="L1702" s="1936">
        <f>'Part IX A-Scoring Criteria'!L148</f>
        <v>0</v>
      </c>
      <c r="M1702" s="1936">
        <f>'Part IX A-Scoring Criteria'!M148</f>
        <v>0</v>
      </c>
      <c r="N1702" s="1936">
        <f>'Part IX A-Scoring Criteria'!N148</f>
        <v>0</v>
      </c>
      <c r="O1702" s="1936">
        <f>'Part IX A-Scoring Criteria'!O148</f>
        <v>0</v>
      </c>
      <c r="P1702" s="1936">
        <f>'Part IX A-Scoring Criteria'!P148</f>
        <v>0</v>
      </c>
      <c r="Q1702" s="478"/>
      <c r="R1702" s="1156"/>
      <c r="S1702" s="1156"/>
      <c r="T1702" s="1156"/>
      <c r="U1702" s="1156"/>
      <c r="V1702" s="1156"/>
      <c r="W1702" s="1156"/>
      <c r="X1702" s="1156"/>
      <c r="Y1702" s="1156"/>
      <c r="Z1702" s="1156"/>
    </row>
    <row r="1703" spans="1:26">
      <c r="A1703" s="1792"/>
      <c r="B1703" s="1792"/>
      <c r="C1703" s="1936">
        <f>'Part IX A-Scoring Criteria'!C149</f>
        <v>0</v>
      </c>
      <c r="D1703" s="1936">
        <f>'Part IX A-Scoring Criteria'!D149</f>
        <v>0</v>
      </c>
      <c r="E1703" s="1936">
        <f>'Part IX A-Scoring Criteria'!E149</f>
        <v>0</v>
      </c>
      <c r="F1703" s="1936">
        <f>'Part IX A-Scoring Criteria'!F149</f>
        <v>0</v>
      </c>
      <c r="G1703" s="1936">
        <f>'Part IX A-Scoring Criteria'!G149</f>
        <v>0</v>
      </c>
      <c r="H1703" s="1936">
        <f>'Part IX A-Scoring Criteria'!H149</f>
        <v>0</v>
      </c>
      <c r="I1703" s="1936">
        <f>'Part IX A-Scoring Criteria'!I149</f>
        <v>0</v>
      </c>
      <c r="J1703" s="1936">
        <f>'Part IX A-Scoring Criteria'!J149</f>
        <v>0</v>
      </c>
      <c r="K1703" s="1936">
        <f>'Part IX A-Scoring Criteria'!K149</f>
        <v>0</v>
      </c>
      <c r="L1703" s="1936">
        <f>'Part IX A-Scoring Criteria'!L149</f>
        <v>0</v>
      </c>
      <c r="M1703" s="1936">
        <f>'Part IX A-Scoring Criteria'!M149</f>
        <v>0</v>
      </c>
      <c r="N1703" s="1936">
        <f>'Part IX A-Scoring Criteria'!N149</f>
        <v>0</v>
      </c>
      <c r="O1703" s="1936">
        <f>'Part IX A-Scoring Criteria'!O149</f>
        <v>0</v>
      </c>
      <c r="P1703" s="1936">
        <f>'Part IX A-Scoring Criteria'!P149</f>
        <v>0</v>
      </c>
      <c r="Q1703" s="478"/>
      <c r="R1703" s="1156"/>
      <c r="S1703" s="1156"/>
      <c r="T1703" s="1156"/>
      <c r="U1703" s="1156"/>
      <c r="V1703" s="1156"/>
      <c r="W1703" s="1156"/>
      <c r="X1703" s="1156"/>
      <c r="Y1703" s="1156"/>
      <c r="Z1703" s="1156"/>
    </row>
    <row r="1704" spans="1:26" ht="15">
      <c r="A1704" s="1792"/>
      <c r="B1704" s="1792"/>
      <c r="C1704" s="1629"/>
      <c r="D1704" s="1937"/>
      <c r="E1704" s="1939"/>
      <c r="F1704" s="1939"/>
      <c r="G1704" s="1939"/>
      <c r="H1704" s="1939"/>
      <c r="I1704" s="1939"/>
      <c r="J1704" s="1939"/>
      <c r="K1704" s="1939"/>
      <c r="L1704" s="1939"/>
      <c r="M1704" s="1939"/>
      <c r="N1704" s="2057"/>
      <c r="O1704" s="2028"/>
      <c r="P1704" s="1837"/>
      <c r="Q1704" s="2053"/>
      <c r="R1704" s="2022"/>
      <c r="S1704" s="2022"/>
      <c r="T1704" s="2022"/>
      <c r="U1704" s="2022"/>
      <c r="V1704" s="2022"/>
      <c r="W1704" s="2022"/>
      <c r="X1704" s="2022"/>
      <c r="Y1704" s="2022"/>
      <c r="Z1704" s="2022"/>
    </row>
    <row r="1705" spans="1:26" ht="15.75">
      <c r="A1705" s="1936">
        <f>'Part IX A-Scoring Criteria'!A151</f>
        <v>0</v>
      </c>
      <c r="B1705" s="1936">
        <f>'Part IX A-Scoring Criteria'!B151</f>
        <v>0</v>
      </c>
      <c r="C1705" s="1936">
        <f>'Part IX A-Scoring Criteria'!C151</f>
        <v>0</v>
      </c>
      <c r="D1705" s="1936">
        <f>'Part IX A-Scoring Criteria'!D151</f>
        <v>0</v>
      </c>
      <c r="E1705" s="1936">
        <f>'Part IX A-Scoring Criteria'!E151</f>
        <v>0</v>
      </c>
      <c r="F1705" s="1936">
        <f>'Part IX A-Scoring Criteria'!F151</f>
        <v>0</v>
      </c>
      <c r="G1705" s="1936">
        <f>'Part IX A-Scoring Criteria'!G151</f>
        <v>0</v>
      </c>
      <c r="H1705" s="1936">
        <f>'Part IX A-Scoring Criteria'!H151</f>
        <v>0</v>
      </c>
      <c r="I1705" s="1936">
        <f>'Part IX A-Scoring Criteria'!I151</f>
        <v>0</v>
      </c>
      <c r="J1705" s="1936">
        <f>'Part IX A-Scoring Criteria'!J151</f>
        <v>0</v>
      </c>
      <c r="K1705" s="1936">
        <f>'Part IX A-Scoring Criteria'!K151</f>
        <v>0</v>
      </c>
      <c r="L1705" s="1936">
        <f>'Part IX A-Scoring Criteria'!L151</f>
        <v>0</v>
      </c>
      <c r="M1705" s="1936">
        <f>'Part IX A-Scoring Criteria'!M151</f>
        <v>0</v>
      </c>
      <c r="N1705" s="1936">
        <f>'Part IX A-Scoring Criteria'!N151</f>
        <v>0</v>
      </c>
      <c r="O1705" s="1936">
        <f>'Part IX A-Scoring Criteria'!O151</f>
        <v>0</v>
      </c>
      <c r="P1705" s="1936">
        <f>'Part IX A-Scoring Criteria'!P151</f>
        <v>0</v>
      </c>
      <c r="Q1705" s="2030"/>
      <c r="R1705" s="2022"/>
      <c r="S1705" s="2022"/>
      <c r="T1705" s="2022"/>
      <c r="U1705" s="2022"/>
      <c r="V1705" s="2022"/>
      <c r="W1705" s="2022"/>
      <c r="X1705" s="2022"/>
      <c r="Y1705" s="2022"/>
      <c r="Z1705" s="2022"/>
    </row>
    <row r="1706" spans="1:26" ht="15">
      <c r="A1706" s="1629"/>
      <c r="B1706" s="2022"/>
      <c r="C1706" s="1939"/>
      <c r="D1706" s="1939"/>
      <c r="E1706" s="1939"/>
      <c r="F1706" s="1939"/>
      <c r="G1706" s="1939"/>
      <c r="H1706" s="1939"/>
      <c r="I1706" s="1939"/>
      <c r="J1706" s="1939"/>
      <c r="K1706" s="1939"/>
      <c r="L1706" s="1939"/>
      <c r="M1706" s="1939"/>
      <c r="N1706" s="2057"/>
      <c r="O1706" s="2028"/>
      <c r="P1706" s="1837"/>
      <c r="Q1706" s="2022"/>
      <c r="R1706" s="2022"/>
      <c r="S1706" s="2022"/>
      <c r="T1706" s="2022"/>
      <c r="U1706" s="2022"/>
      <c r="V1706" s="2022"/>
      <c r="W1706" s="2022"/>
      <c r="X1706" s="2022"/>
      <c r="Y1706" s="2022"/>
      <c r="Z1706" s="2022"/>
    </row>
    <row r="1707" spans="1:26" ht="15">
      <c r="A1707" s="2023" t="s">
        <v>780</v>
      </c>
      <c r="B1707" s="2024" t="s">
        <v>4003</v>
      </c>
      <c r="C1707" s="1939"/>
      <c r="D1707" s="1939"/>
      <c r="E1707" s="1939"/>
      <c r="F1707" s="1939"/>
      <c r="G1707" s="1939"/>
      <c r="H1707" s="1939"/>
      <c r="I1707" s="1939"/>
      <c r="J1707" s="1939"/>
      <c r="K1707" s="1939"/>
      <c r="L1707" s="1939"/>
      <c r="M1707" s="1837">
        <v>5</v>
      </c>
      <c r="N1707" s="2057"/>
      <c r="O1707" s="2021">
        <f>'Part IX A-Scoring Criteria'!O153</f>
        <v>2</v>
      </c>
      <c r="P1707" s="2021">
        <f>'Part IX A-Scoring Criteria'!P153</f>
        <v>0</v>
      </c>
      <c r="Q1707" s="1837" t="s">
        <v>443</v>
      </c>
      <c r="R1707" s="2022"/>
      <c r="S1707" s="2022"/>
      <c r="T1707" s="2022"/>
      <c r="U1707" s="2022"/>
      <c r="V1707" s="2022"/>
      <c r="W1707" s="2022"/>
      <c r="X1707" s="2022"/>
      <c r="Y1707" s="2022"/>
      <c r="Z1707" s="2022"/>
    </row>
    <row r="1708" spans="1:26" ht="15">
      <c r="A1708" s="1629"/>
      <c r="B1708" s="2022"/>
      <c r="C1708" s="1939"/>
      <c r="D1708" s="1939"/>
      <c r="E1708" s="1939"/>
      <c r="F1708" s="1939"/>
      <c r="G1708" s="1939"/>
      <c r="H1708" s="1939"/>
      <c r="I1708" s="1939"/>
      <c r="J1708" s="1939"/>
      <c r="K1708" s="1939"/>
      <c r="L1708" s="1939"/>
      <c r="M1708" s="1939"/>
      <c r="N1708" s="2057"/>
      <c r="O1708" s="2028"/>
      <c r="P1708" s="1837"/>
      <c r="Q1708" s="2022"/>
      <c r="R1708" s="2022"/>
      <c r="S1708" s="2022"/>
      <c r="T1708" s="2022"/>
      <c r="U1708" s="2022"/>
      <c r="V1708" s="2022"/>
      <c r="W1708" s="2022"/>
      <c r="X1708" s="2022"/>
      <c r="Y1708" s="2022"/>
      <c r="Z1708" s="2022"/>
    </row>
    <row r="1709" spans="1:26" ht="15">
      <c r="A1709" s="1855" t="s">
        <v>1999</v>
      </c>
      <c r="B1709" s="1818" t="s">
        <v>4042</v>
      </c>
      <c r="C1709" s="2040"/>
      <c r="D1709" s="2087"/>
      <c r="E1709" s="2087"/>
      <c r="F1709" s="2040"/>
      <c r="G1709" s="2087"/>
      <c r="H1709" s="2087"/>
      <c r="I1709" s="2087"/>
      <c r="J1709" s="2087"/>
      <c r="K1709" s="2087"/>
      <c r="L1709" s="2087"/>
      <c r="M1709" s="1828">
        <v>3</v>
      </c>
      <c r="N1709" s="2059"/>
      <c r="O1709" s="1828">
        <f>'Part IX A-Scoring Criteria'!O155</f>
        <v>0</v>
      </c>
      <c r="P1709" s="1828">
        <f>'Part IX A-Scoring Criteria'!P155</f>
        <v>0</v>
      </c>
      <c r="Q1709" s="2040"/>
      <c r="R1709" s="1631"/>
      <c r="S1709" s="2040"/>
      <c r="T1709" s="2040"/>
      <c r="U1709" s="2040"/>
      <c r="V1709" s="2040"/>
      <c r="W1709" s="2040"/>
      <c r="X1709" s="2040"/>
      <c r="Y1709" s="2040"/>
      <c r="Z1709" s="2040"/>
    </row>
    <row r="1710" spans="1:26" ht="15">
      <c r="A1710" s="2022"/>
      <c r="B1710" s="1872" t="s">
        <v>3856</v>
      </c>
      <c r="C1710" s="2010"/>
      <c r="D1710" s="2010"/>
      <c r="E1710" s="2010"/>
      <c r="F1710" s="2010"/>
      <c r="G1710" s="2010"/>
      <c r="H1710" s="2010"/>
      <c r="I1710" s="2010"/>
      <c r="J1710" s="2010"/>
      <c r="K1710" s="2010"/>
      <c r="L1710" s="2010"/>
      <c r="M1710" s="2010"/>
      <c r="N1710" s="2010"/>
      <c r="O1710" s="1942">
        <f>'Part IX A-Scoring Criteria'!O156</f>
        <v>0</v>
      </c>
      <c r="P1710" s="1942">
        <f>'Part IX A-Scoring Criteria'!P156</f>
        <v>0</v>
      </c>
      <c r="Q1710" s="2022"/>
      <c r="R1710" s="1985"/>
      <c r="S1710" s="2022"/>
      <c r="T1710" s="2022"/>
      <c r="U1710" s="2022"/>
      <c r="V1710" s="2022"/>
      <c r="W1710" s="2022"/>
      <c r="X1710" s="2022"/>
      <c r="Y1710" s="2022"/>
      <c r="Z1710" s="2022"/>
    </row>
    <row r="1711" spans="1:26" ht="15">
      <c r="A1711" s="1855"/>
      <c r="B1711" s="1944"/>
      <c r="C1711" s="1944"/>
      <c r="D1711" s="1944"/>
      <c r="E1711" s="1944"/>
      <c r="F1711" s="1944"/>
      <c r="G1711" s="1944"/>
      <c r="H1711" s="1944"/>
      <c r="I1711" s="1944"/>
      <c r="J1711" s="1944"/>
      <c r="K1711" s="1944"/>
      <c r="L1711" s="1944"/>
      <c r="M1711" s="1944"/>
      <c r="N1711" s="2022"/>
      <c r="O1711" s="2022"/>
      <c r="P1711" s="2022"/>
      <c r="Q1711" s="2022"/>
      <c r="R1711" s="1985"/>
      <c r="S1711" s="2022"/>
      <c r="T1711" s="2022"/>
      <c r="U1711" s="2022"/>
      <c r="V1711" s="2022"/>
      <c r="W1711" s="2022"/>
      <c r="X1711" s="2022"/>
      <c r="Y1711" s="2022"/>
      <c r="Z1711" s="2022"/>
    </row>
    <row r="1712" spans="1:26" ht="15" customHeight="1">
      <c r="A1712" s="1855"/>
      <c r="B1712" s="1936" t="s">
        <v>4828</v>
      </c>
      <c r="C1712" s="1936"/>
      <c r="D1712" s="1936"/>
      <c r="E1712" s="478" t="s">
        <v>3853</v>
      </c>
      <c r="F1712" s="2040"/>
      <c r="G1712" s="478"/>
      <c r="H1712" s="2040"/>
      <c r="I1712" s="1901">
        <f>'Part IX A-Scoring Criteria'!I158</f>
        <v>0</v>
      </c>
      <c r="J1712" s="1901">
        <f>'Part IX A-Scoring Criteria'!J158</f>
        <v>0</v>
      </c>
      <c r="K1712" s="1901">
        <f>'Part IX A-Scoring Criteria'!K158</f>
        <v>0</v>
      </c>
      <c r="L1712" s="1901">
        <f>'Part IX A-Scoring Criteria'!L158</f>
        <v>0</v>
      </c>
      <c r="M1712" s="2022"/>
      <c r="N1712" s="2022"/>
      <c r="O1712" s="2022"/>
      <c r="P1712" s="2022"/>
      <c r="Q1712" s="2022"/>
      <c r="R1712" s="2022"/>
      <c r="S1712" s="2022"/>
      <c r="T1712" s="2022"/>
      <c r="U1712" s="2022"/>
      <c r="V1712" s="2022"/>
      <c r="W1712" s="2022"/>
      <c r="X1712" s="2022"/>
      <c r="Y1712" s="2022"/>
      <c r="Z1712" s="2022"/>
    </row>
    <row r="1713" spans="1:26" ht="15">
      <c r="A1713" s="1855"/>
      <c r="B1713" s="1936"/>
      <c r="C1713" s="1936"/>
      <c r="D1713" s="1936"/>
      <c r="E1713" s="1872" t="s">
        <v>3855</v>
      </c>
      <c r="F1713" s="1985"/>
      <c r="G1713" s="2040"/>
      <c r="H1713" s="2040"/>
      <c r="I1713" s="1872"/>
      <c r="J1713" s="1866"/>
      <c r="K1713" s="1866"/>
      <c r="L1713" s="1866"/>
      <c r="M1713" s="2040"/>
      <c r="N1713" s="1901"/>
      <c r="O1713" s="1942">
        <f>'Part IX A-Scoring Criteria'!O159</f>
        <v>0</v>
      </c>
      <c r="P1713" s="1942">
        <f>'Part IX A-Scoring Criteria'!P159</f>
        <v>0</v>
      </c>
      <c r="Q1713" s="1901"/>
      <c r="R1713" s="2022"/>
      <c r="S1713" s="2022"/>
      <c r="T1713" s="2022"/>
      <c r="U1713" s="2022"/>
      <c r="V1713" s="2022"/>
      <c r="W1713" s="2022"/>
      <c r="X1713" s="2022"/>
      <c r="Y1713" s="2022"/>
      <c r="Z1713" s="2022"/>
    </row>
    <row r="1714" spans="1:26" ht="15">
      <c r="A1714" s="1629"/>
      <c r="B1714" s="2022"/>
      <c r="C1714" s="1939"/>
      <c r="D1714" s="1939"/>
      <c r="E1714" s="478" t="s">
        <v>2923</v>
      </c>
      <c r="F1714" s="478" t="str">
        <f>'Part I-Project Information'!$H$78</f>
        <v>Family</v>
      </c>
      <c r="G1714" s="478"/>
      <c r="H1714" s="2022"/>
      <c r="I1714" s="1939"/>
      <c r="J1714" s="1939"/>
      <c r="K1714" s="1939"/>
      <c r="L1714" s="1939"/>
      <c r="M1714" s="1939"/>
      <c r="N1714" s="2057"/>
      <c r="O1714" s="2028"/>
      <c r="P1714" s="1837"/>
      <c r="Q1714" s="2022"/>
      <c r="R1714" s="2022"/>
      <c r="S1714" s="2022"/>
      <c r="T1714" s="2022"/>
      <c r="U1714" s="2022"/>
      <c r="V1714" s="2022"/>
      <c r="W1714" s="2022"/>
      <c r="X1714" s="2022"/>
      <c r="Y1714" s="2022"/>
      <c r="Z1714" s="2022"/>
    </row>
    <row r="1715" spans="1:26" ht="15" customHeight="1">
      <c r="A1715" s="1855"/>
      <c r="B1715" s="1748"/>
      <c r="C1715" s="1908"/>
      <c r="D1715" s="1908"/>
      <c r="E1715" s="2099"/>
      <c r="F1715" s="2022"/>
      <c r="G1715" s="2022"/>
      <c r="H1715" s="1944" t="s">
        <v>3851</v>
      </c>
      <c r="I1715" s="1901" t="s">
        <v>3896</v>
      </c>
      <c r="J1715" s="1901"/>
      <c r="K1715" s="1901"/>
      <c r="L1715" s="1901"/>
      <c r="M1715" s="1709" t="s">
        <v>3850</v>
      </c>
      <c r="N1715" s="1709"/>
      <c r="O1715" s="1709" t="s">
        <v>3854</v>
      </c>
      <c r="P1715" s="1709"/>
      <c r="Q1715" s="1901"/>
      <c r="R1715" s="2022"/>
      <c r="S1715" s="2022"/>
      <c r="T1715" s="2022"/>
      <c r="U1715" s="2022"/>
      <c r="V1715" s="2022"/>
      <c r="W1715" s="2022"/>
      <c r="X1715" s="2022"/>
      <c r="Y1715" s="2022"/>
      <c r="Z1715" s="2022"/>
    </row>
    <row r="1716" spans="1:26" ht="23.25">
      <c r="A1716" s="1855"/>
      <c r="B1716" s="2100" t="s">
        <v>3848</v>
      </c>
      <c r="C1716" s="1866"/>
      <c r="D1716" s="1631" t="s">
        <v>4829</v>
      </c>
      <c r="E1716" s="1631"/>
      <c r="F1716" s="1631"/>
      <c r="G1716" s="1960" t="s">
        <v>3419</v>
      </c>
      <c r="H1716" s="1944"/>
      <c r="I1716" s="1986">
        <v>2014</v>
      </c>
      <c r="J1716" s="1986">
        <v>2015</v>
      </c>
      <c r="K1716" s="1986">
        <v>2016</v>
      </c>
      <c r="L1716" s="1986">
        <v>2017</v>
      </c>
      <c r="M1716" s="1709"/>
      <c r="N1716" s="1709"/>
      <c r="O1716" s="1709"/>
      <c r="P1716" s="1709"/>
      <c r="Q1716" s="2101" t="s">
        <v>3849</v>
      </c>
      <c r="R1716" s="2101"/>
      <c r="S1716" s="2022"/>
      <c r="T1716" s="2022"/>
      <c r="U1716" s="2022"/>
      <c r="V1716" s="2022"/>
      <c r="W1716" s="2022"/>
      <c r="X1716" s="2022"/>
      <c r="Y1716" s="2022"/>
      <c r="Z1716" s="2022"/>
    </row>
    <row r="1717" spans="1:26" ht="15">
      <c r="A1717" s="1977" t="s">
        <v>2451</v>
      </c>
      <c r="B1717" s="1908" t="s">
        <v>4041</v>
      </c>
      <c r="C1717" s="2022"/>
      <c r="D1717" s="1901">
        <f>'Part IX A-Scoring Criteria'!D163</f>
        <v>0</v>
      </c>
      <c r="E1717" s="1901">
        <f>'Part IX A-Scoring Criteria'!E163</f>
        <v>0</v>
      </c>
      <c r="F1717" s="1901">
        <f>'Part IX A-Scoring Criteria'!F163</f>
        <v>0</v>
      </c>
      <c r="G1717" s="2102">
        <f>'Part IX A-Scoring Criteria'!G163</f>
        <v>0</v>
      </c>
      <c r="H1717" s="1968">
        <f>'Part IX A-Scoring Criteria'!H163</f>
        <v>0</v>
      </c>
      <c r="I1717" s="2103">
        <f>'Part IX A-Scoring Criteria'!I163</f>
        <v>0</v>
      </c>
      <c r="J1717" s="2103">
        <f>'Part IX A-Scoring Criteria'!J163</f>
        <v>0</v>
      </c>
      <c r="K1717" s="2103">
        <f>'Part IX A-Scoring Criteria'!K163</f>
        <v>0</v>
      </c>
      <c r="L1717" s="2103">
        <f>'Part IX A-Scoring Criteria'!L163</f>
        <v>0</v>
      </c>
      <c r="M1717" s="2104" t="str">
        <f>IF(I1717+J1717+K1717+L1717=0,"",AVERAGE(I1717,J1717,K1717,L1717))</f>
        <v/>
      </c>
      <c r="N1717" s="2104"/>
      <c r="O1717" s="1831" t="str">
        <f>IF(M1717="","",IF(M1717&gt;Q1717,"Yes",IF(M1717&lt;Q1717,"No","")))</f>
        <v/>
      </c>
      <c r="P1717" s="2022"/>
      <c r="Q1717" s="1642">
        <v>73.400000000000006</v>
      </c>
      <c r="R1717" s="1642"/>
      <c r="S1717" s="2022"/>
      <c r="T1717" s="2022"/>
      <c r="U1717" s="2022"/>
      <c r="V1717" s="2022"/>
      <c r="W1717" s="2022"/>
      <c r="X1717" s="2022"/>
      <c r="Y1717" s="2022"/>
      <c r="Z1717" s="2022"/>
    </row>
    <row r="1718" spans="1:26" ht="15">
      <c r="A1718" s="1987" t="s">
        <v>2452</v>
      </c>
      <c r="B1718" s="1908" t="s">
        <v>4217</v>
      </c>
      <c r="C1718" s="2022"/>
      <c r="D1718" s="1901">
        <f>'Part IX A-Scoring Criteria'!D164</f>
        <v>0</v>
      </c>
      <c r="E1718" s="1901">
        <f>'Part IX A-Scoring Criteria'!E164</f>
        <v>0</v>
      </c>
      <c r="F1718" s="1901">
        <f>'Part IX A-Scoring Criteria'!F164</f>
        <v>0</v>
      </c>
      <c r="G1718" s="2102">
        <f>'Part IX A-Scoring Criteria'!G164</f>
        <v>0</v>
      </c>
      <c r="H1718" s="1968">
        <f>'Part IX A-Scoring Criteria'!H164</f>
        <v>0</v>
      </c>
      <c r="I1718" s="2103">
        <f>'Part IX A-Scoring Criteria'!I164</f>
        <v>0</v>
      </c>
      <c r="J1718" s="2103">
        <f>'Part IX A-Scoring Criteria'!J164</f>
        <v>0</v>
      </c>
      <c r="K1718" s="2103">
        <f>'Part IX A-Scoring Criteria'!K164</f>
        <v>0</v>
      </c>
      <c r="L1718" s="2103">
        <f>'Part IX A-Scoring Criteria'!L164</f>
        <v>0</v>
      </c>
      <c r="M1718" s="2104" t="str">
        <f>IF(I1718+J1718+K1718+L1718=0,"",AVERAGE(I1718,J1718,K1718,L1718))</f>
        <v/>
      </c>
      <c r="N1718" s="2104"/>
      <c r="O1718" s="1831" t="str">
        <f>IF(M1718="","",IF(M1718&gt;Q1718,"Yes",IF(M1718&lt;Q1718,"No","")))</f>
        <v/>
      </c>
      <c r="P1718" s="2022"/>
      <c r="Q1718" s="1642">
        <v>72.099999999999994</v>
      </c>
      <c r="R1718" s="1642"/>
      <c r="S1718" s="2022"/>
      <c r="T1718" s="2022"/>
      <c r="U1718" s="2022"/>
      <c r="V1718" s="2022"/>
      <c r="W1718" s="2022"/>
      <c r="X1718" s="2022"/>
      <c r="Y1718" s="2022"/>
      <c r="Z1718" s="2022"/>
    </row>
    <row r="1719" spans="1:26" ht="15">
      <c r="A1719" s="1977" t="s">
        <v>2453</v>
      </c>
      <c r="B1719" s="1908" t="s">
        <v>4039</v>
      </c>
      <c r="C1719" s="2022"/>
      <c r="D1719" s="1901">
        <f>'Part IX A-Scoring Criteria'!D165</f>
        <v>0</v>
      </c>
      <c r="E1719" s="1901">
        <f>'Part IX A-Scoring Criteria'!E165</f>
        <v>0</v>
      </c>
      <c r="F1719" s="1901">
        <f>'Part IX A-Scoring Criteria'!F165</f>
        <v>0</v>
      </c>
      <c r="G1719" s="2102">
        <f>'Part IX A-Scoring Criteria'!G165</f>
        <v>0</v>
      </c>
      <c r="H1719" s="1968">
        <f>'Part IX A-Scoring Criteria'!H165</f>
        <v>0</v>
      </c>
      <c r="I1719" s="2103">
        <f>'Part IX A-Scoring Criteria'!I165</f>
        <v>0</v>
      </c>
      <c r="J1719" s="2103">
        <f>'Part IX A-Scoring Criteria'!J165</f>
        <v>0</v>
      </c>
      <c r="K1719" s="2103">
        <f>'Part IX A-Scoring Criteria'!K165</f>
        <v>0</v>
      </c>
      <c r="L1719" s="2103">
        <f>'Part IX A-Scoring Criteria'!L165</f>
        <v>0</v>
      </c>
      <c r="M1719" s="2104" t="str">
        <f>IF(I1719+J1719+K1719+L1719=0,"",AVERAGE(I1719,J1719,K1719,L1719))</f>
        <v/>
      </c>
      <c r="N1719" s="2104"/>
      <c r="O1719" s="1831" t="str">
        <f>IF(M1719="","",IF(M1719&gt;Q1719,"Yes",IF(M1719&lt;Q1719,"No","")))</f>
        <v/>
      </c>
      <c r="P1719" s="2022"/>
      <c r="Q1719" s="1642">
        <v>73.3</v>
      </c>
      <c r="R1719" s="1642"/>
      <c r="S1719" s="2022"/>
      <c r="T1719" s="2022"/>
      <c r="U1719" s="2022"/>
      <c r="V1719" s="2022"/>
      <c r="W1719" s="2022"/>
      <c r="X1719" s="2022"/>
      <c r="Y1719" s="2022"/>
      <c r="Z1719" s="2022"/>
    </row>
    <row r="1720" spans="1:26" ht="15">
      <c r="A1720" s="1977"/>
      <c r="B1720" s="1908"/>
      <c r="C1720" s="2022"/>
      <c r="D1720" s="2022"/>
      <c r="E1720" s="2022"/>
      <c r="F1720" s="2022"/>
      <c r="G1720" s="2022"/>
      <c r="H1720" s="2022"/>
      <c r="I1720" s="2022"/>
      <c r="J1720" s="2022"/>
      <c r="K1720" s="2022"/>
      <c r="L1720" s="2022"/>
      <c r="M1720" s="2022"/>
      <c r="N1720" s="2022"/>
      <c r="O1720" s="2022"/>
      <c r="P1720" s="2022"/>
      <c r="Q1720" s="2022"/>
      <c r="R1720" s="2022"/>
      <c r="S1720" s="2022"/>
      <c r="T1720" s="2022"/>
      <c r="U1720" s="2022"/>
      <c r="V1720" s="2022"/>
      <c r="W1720" s="2022"/>
      <c r="X1720" s="2022"/>
      <c r="Y1720" s="2022"/>
      <c r="Z1720" s="2022"/>
    </row>
    <row r="1721" spans="1:26" ht="15">
      <c r="A1721" s="1977" t="s">
        <v>2454</v>
      </c>
      <c r="B1721" s="2000" t="s">
        <v>4041</v>
      </c>
      <c r="C1721" s="2022"/>
      <c r="D1721" s="2010">
        <f>IF(D1717="","",D1717)</f>
        <v>0</v>
      </c>
      <c r="E1721" s="2022"/>
      <c r="F1721" s="2022"/>
      <c r="G1721" s="1986">
        <f t="shared" ref="G1721:H1723" si="325">IF(G1717="","",G1717)</f>
        <v>0</v>
      </c>
      <c r="H1721" s="1986">
        <f t="shared" si="325"/>
        <v>0</v>
      </c>
      <c r="I1721" s="2103">
        <f>'Part IX A-Scoring Criteria'!I167</f>
        <v>0</v>
      </c>
      <c r="J1721" s="2103">
        <f>'Part IX A-Scoring Criteria'!J167</f>
        <v>0</v>
      </c>
      <c r="K1721" s="2103">
        <f>'Part IX A-Scoring Criteria'!K167</f>
        <v>0</v>
      </c>
      <c r="L1721" s="2103">
        <f>'Part IX A-Scoring Criteria'!L167</f>
        <v>0</v>
      </c>
      <c r="M1721" s="2104" t="str">
        <f>IF(I1721+J1721+K1721+L1721=0,"",AVERAGE(I1721,J1721,K1721,L1721))</f>
        <v/>
      </c>
      <c r="N1721" s="2104"/>
      <c r="O1721" s="2022"/>
      <c r="P1721" s="1831" t="str">
        <f>IF(M1721="","",IF(M1721&gt;Q1717,"Yes",IF(M1721&lt;Q1717,"No","")))</f>
        <v/>
      </c>
      <c r="Q1721" s="2022"/>
      <c r="R1721" s="2022"/>
      <c r="S1721" s="2022"/>
      <c r="T1721" s="2022"/>
      <c r="U1721" s="2022"/>
      <c r="V1721" s="2022"/>
      <c r="W1721" s="2022"/>
      <c r="X1721" s="2022"/>
      <c r="Y1721" s="2022"/>
      <c r="Z1721" s="2022"/>
    </row>
    <row r="1722" spans="1:26" ht="15">
      <c r="A1722" s="1987" t="s">
        <v>2455</v>
      </c>
      <c r="B1722" s="2000" t="s">
        <v>4040</v>
      </c>
      <c r="C1722" s="2022"/>
      <c r="D1722" s="2010">
        <f>IF(D1718="","",D1718)</f>
        <v>0</v>
      </c>
      <c r="E1722" s="2022"/>
      <c r="F1722" s="2022"/>
      <c r="G1722" s="1986">
        <f t="shared" si="325"/>
        <v>0</v>
      </c>
      <c r="H1722" s="1986">
        <f t="shared" si="325"/>
        <v>0</v>
      </c>
      <c r="I1722" s="2103">
        <f>'Part IX A-Scoring Criteria'!I168</f>
        <v>0</v>
      </c>
      <c r="J1722" s="2103">
        <f>'Part IX A-Scoring Criteria'!J168</f>
        <v>0</v>
      </c>
      <c r="K1722" s="2103">
        <f>'Part IX A-Scoring Criteria'!K168</f>
        <v>0</v>
      </c>
      <c r="L1722" s="2103">
        <f>'Part IX A-Scoring Criteria'!L168</f>
        <v>0</v>
      </c>
      <c r="M1722" s="2104" t="str">
        <f>IF(I1722+J1722+K1722+L1722=0,"",AVERAGE(I1722,J1722,K1722,L1722))</f>
        <v/>
      </c>
      <c r="N1722" s="2104"/>
      <c r="O1722" s="2022"/>
      <c r="P1722" s="1831" t="str">
        <f>IF(M1722="","",IF(M1722&gt;Q1718,"Yes",IF(M1722&lt;Q1718,"No","")))</f>
        <v/>
      </c>
      <c r="Q1722" s="2022"/>
      <c r="R1722" s="2022"/>
      <c r="S1722" s="2022"/>
      <c r="T1722" s="2022"/>
      <c r="U1722" s="2022"/>
      <c r="V1722" s="2022"/>
      <c r="W1722" s="2022"/>
      <c r="X1722" s="2022"/>
      <c r="Y1722" s="2022"/>
      <c r="Z1722" s="2022"/>
    </row>
    <row r="1723" spans="1:26" ht="15">
      <c r="A1723" s="1977" t="s">
        <v>2471</v>
      </c>
      <c r="B1723" s="2000" t="s">
        <v>4039</v>
      </c>
      <c r="C1723" s="2022"/>
      <c r="D1723" s="2010">
        <f>IF(D1719="","",D1719)</f>
        <v>0</v>
      </c>
      <c r="E1723" s="2022"/>
      <c r="F1723" s="2022"/>
      <c r="G1723" s="1986">
        <f t="shared" si="325"/>
        <v>0</v>
      </c>
      <c r="H1723" s="1986">
        <f t="shared" si="325"/>
        <v>0</v>
      </c>
      <c r="I1723" s="2103">
        <f>'Part IX A-Scoring Criteria'!I169</f>
        <v>0</v>
      </c>
      <c r="J1723" s="2103">
        <f>'Part IX A-Scoring Criteria'!J169</f>
        <v>0</v>
      </c>
      <c r="K1723" s="2103">
        <f>'Part IX A-Scoring Criteria'!K169</f>
        <v>0</v>
      </c>
      <c r="L1723" s="2103">
        <f>'Part IX A-Scoring Criteria'!L169</f>
        <v>0</v>
      </c>
      <c r="M1723" s="2104" t="str">
        <f>IF(I1723+J1723+K1723+L1723=0,"",AVERAGE(I1723,J1723,K1723,L1723))</f>
        <v/>
      </c>
      <c r="N1723" s="2104"/>
      <c r="O1723" s="2022"/>
      <c r="P1723" s="1831" t="str">
        <f>IF(M1723="","",IF(M1723&gt;Q1719,"Yes",IF(M1723&lt;Q1719,"No","")))</f>
        <v/>
      </c>
      <c r="Q1723" s="2022"/>
      <c r="R1723" s="2022"/>
      <c r="S1723" s="2022"/>
      <c r="T1723" s="2022"/>
      <c r="U1723" s="2022"/>
      <c r="V1723" s="2022"/>
      <c r="W1723" s="2022"/>
      <c r="X1723" s="2022"/>
      <c r="Y1723" s="2022"/>
      <c r="Z1723" s="2022"/>
    </row>
    <row r="1724" spans="1:26" ht="15">
      <c r="A1724" s="1629"/>
      <c r="B1724" s="2022"/>
      <c r="C1724" s="1939"/>
      <c r="D1724" s="1939"/>
      <c r="E1724" s="1939"/>
      <c r="F1724" s="1939"/>
      <c r="G1724" s="1939"/>
      <c r="H1724" s="1939"/>
      <c r="I1724" s="1939"/>
      <c r="J1724" s="1939"/>
      <c r="K1724" s="1939"/>
      <c r="L1724" s="1939"/>
      <c r="M1724" s="1939"/>
      <c r="N1724" s="2057"/>
      <c r="O1724" s="2028"/>
      <c r="P1724" s="1837"/>
      <c r="Q1724" s="2022"/>
      <c r="R1724" s="2022"/>
      <c r="S1724" s="2022"/>
      <c r="T1724" s="2022"/>
      <c r="U1724" s="2022"/>
      <c r="V1724" s="2022"/>
      <c r="W1724" s="2022"/>
      <c r="X1724" s="2022"/>
      <c r="Y1724" s="2022"/>
      <c r="Z1724" s="2022"/>
    </row>
    <row r="1725" spans="1:26" ht="15">
      <c r="A1725" s="1855" t="s">
        <v>2001</v>
      </c>
      <c r="B1725" s="1818" t="s">
        <v>4043</v>
      </c>
      <c r="C1725" s="2040"/>
      <c r="D1725" s="2087"/>
      <c r="E1725" s="2087"/>
      <c r="F1725" s="2071" t="s">
        <v>3412</v>
      </c>
      <c r="G1725" s="2040"/>
      <c r="H1725" s="1872" t="s">
        <v>3897</v>
      </c>
      <c r="I1725" s="2040"/>
      <c r="J1725" s="2040"/>
      <c r="K1725" s="2040"/>
      <c r="L1725" s="2040"/>
      <c r="M1725" s="1828">
        <v>2</v>
      </c>
      <c r="N1725" s="2059"/>
      <c r="O1725" s="2021" t="str">
        <f>'Part IX A-Scoring Criteria'!O171</f>
        <v>2.</v>
      </c>
      <c r="P1725" s="2021">
        <f>'Part IX A-Scoring Criteria'!P171</f>
        <v>0</v>
      </c>
      <c r="Q1725" s="1837"/>
      <c r="R1725" s="2105"/>
      <c r="S1725" s="2040"/>
      <c r="T1725" s="2040"/>
      <c r="U1725" s="2040"/>
      <c r="V1725" s="2040"/>
      <c r="W1725" s="2040"/>
      <c r="X1725" s="2040"/>
      <c r="Y1725" s="2040"/>
      <c r="Z1725" s="2040"/>
    </row>
    <row r="1726" spans="1:26" ht="12.75" customHeight="1">
      <c r="A1726" s="1156"/>
      <c r="B1726" s="1156"/>
      <c r="C1726" s="1156"/>
      <c r="D1726" s="1156"/>
      <c r="E1726" s="2106" t="s">
        <v>4220</v>
      </c>
      <c r="F1726" s="2106" t="s">
        <v>3687</v>
      </c>
      <c r="G1726" s="1832" t="s">
        <v>3420</v>
      </c>
      <c r="H1726" s="1832"/>
      <c r="I1726" s="1832"/>
      <c r="J1726" s="1832"/>
      <c r="K1726" s="1832"/>
      <c r="L1726" s="1832"/>
      <c r="M1726" s="1832"/>
      <c r="N1726" s="1832"/>
      <c r="O1726" s="1156"/>
      <c r="P1726" s="2011"/>
      <c r="Q1726" s="1156"/>
      <c r="R1726" s="1156" t="s">
        <v>2850</v>
      </c>
      <c r="S1726" s="1156"/>
      <c r="T1726" s="1999" t="str">
        <f>'Part I-Project Information'!$F$38</f>
        <v>Macon</v>
      </c>
      <c r="U1726" s="1999"/>
      <c r="V1726" s="1999"/>
      <c r="W1726" s="1999"/>
      <c r="X1726" s="1999"/>
      <c r="Y1726" s="1156"/>
      <c r="Z1726" s="1156"/>
    </row>
    <row r="1727" spans="1:26" ht="12.75" customHeight="1">
      <c r="A1727" s="1975"/>
      <c r="B1727" s="2106" t="s">
        <v>4046</v>
      </c>
      <c r="C1727" s="2106"/>
      <c r="D1727" s="2106"/>
      <c r="E1727" s="2106"/>
      <c r="F1727" s="2106"/>
      <c r="G1727" s="1936" t="s">
        <v>4045</v>
      </c>
      <c r="H1727" s="1936"/>
      <c r="I1727" s="1936"/>
      <c r="J1727" s="1936"/>
      <c r="K1727" s="1936"/>
      <c r="L1727" s="1936"/>
      <c r="M1727" s="1936"/>
      <c r="N1727" s="1936"/>
      <c r="O1727" s="2106" t="s">
        <v>3688</v>
      </c>
      <c r="P1727" s="2106"/>
      <c r="Q1727" s="1156"/>
      <c r="R1727" s="1999" t="s">
        <v>2851</v>
      </c>
      <c r="S1727" s="1156"/>
      <c r="T1727" s="1999" t="str">
        <f>'Part I-Project Information'!$J$39</f>
        <v>Bibb</v>
      </c>
      <c r="U1727" s="1999"/>
      <c r="V1727" s="1999"/>
      <c r="W1727" s="1999"/>
      <c r="X1727" s="1999"/>
      <c r="Y1727" s="1156"/>
      <c r="Z1727" s="1156"/>
    </row>
    <row r="1728" spans="1:26">
      <c r="A1728" s="1975"/>
      <c r="B1728" s="478" t="s">
        <v>3857</v>
      </c>
      <c r="C1728" s="478"/>
      <c r="D1728" s="478"/>
      <c r="E1728" s="2107">
        <v>3000</v>
      </c>
      <c r="F1728" s="2107">
        <v>6000</v>
      </c>
      <c r="G1728" s="2108">
        <v>15000</v>
      </c>
      <c r="H1728" s="2108"/>
      <c r="I1728" s="2108"/>
      <c r="J1728" s="2108"/>
      <c r="K1728" s="2108"/>
      <c r="L1728" s="2108"/>
      <c r="M1728" s="2108"/>
      <c r="N1728" s="2108"/>
      <c r="O1728" s="2108">
        <v>20000</v>
      </c>
      <c r="P1728" s="2108"/>
      <c r="Q1728" s="1156"/>
      <c r="R1728" s="2010" t="s">
        <v>2852</v>
      </c>
      <c r="S1728" s="1156"/>
      <c r="T1728" s="1999" t="str">
        <f>'Part I-Project Information'!$O$40</f>
        <v>Macon</v>
      </c>
      <c r="U1728" s="1999"/>
      <c r="V1728" s="1999"/>
      <c r="W1728" s="1999"/>
      <c r="X1728" s="1999"/>
      <c r="Y1728" s="1156"/>
      <c r="Z1728" s="1156"/>
    </row>
    <row r="1729" spans="1:26" ht="12.75" customHeight="1">
      <c r="A1729" s="1975"/>
      <c r="B1729" s="1901" t="s">
        <v>4044</v>
      </c>
      <c r="C1729" s="1901"/>
      <c r="D1729" s="1901"/>
      <c r="E1729" s="2107">
        <v>4500</v>
      </c>
      <c r="F1729" s="2107">
        <v>9000</v>
      </c>
      <c r="G1729" s="2108">
        <v>22500</v>
      </c>
      <c r="H1729" s="2108"/>
      <c r="I1729" s="2108"/>
      <c r="J1729" s="2108"/>
      <c r="K1729" s="2108"/>
      <c r="L1729" s="2108"/>
      <c r="M1729" s="2108"/>
      <c r="N1729" s="2108"/>
      <c r="O1729" s="2108">
        <v>30000</v>
      </c>
      <c r="P1729" s="2108"/>
      <c r="Q1729" s="478"/>
      <c r="R1729" s="1872" t="s">
        <v>3890</v>
      </c>
      <c r="S1729" s="478"/>
      <c r="T1729" s="478" t="str">
        <f>VLOOKUP('Part I-Project Information'!$J$39,'DCA Underwriting Assumptions'!$G$155:$J$314,4)</f>
        <v>MSA</v>
      </c>
      <c r="U1729" s="478"/>
      <c r="V1729" s="478"/>
      <c r="W1729" s="478"/>
      <c r="X1729" s="478"/>
      <c r="Y1729" s="478"/>
      <c r="Z1729" s="478"/>
    </row>
    <row r="1730" spans="1:26">
      <c r="A1730" s="1975"/>
      <c r="B1730" s="1975"/>
      <c r="C1730" s="1156"/>
      <c r="D1730" s="1156"/>
      <c r="E1730" s="1156"/>
      <c r="F1730" s="1156"/>
      <c r="G1730" s="1156"/>
      <c r="H1730" s="1156"/>
      <c r="I1730" s="1156"/>
      <c r="J1730" s="1156"/>
      <c r="K1730" s="1986"/>
      <c r="L1730" s="1986"/>
      <c r="M1730" s="1156"/>
      <c r="N1730" s="1156"/>
      <c r="O1730" s="1156"/>
      <c r="P1730" s="1156"/>
      <c r="Q1730" s="1156"/>
      <c r="R1730" s="1156"/>
      <c r="S1730" s="1156"/>
      <c r="T1730" s="1156"/>
      <c r="U1730" s="1156"/>
      <c r="V1730" s="1156"/>
      <c r="W1730" s="1156"/>
      <c r="X1730" s="1156"/>
      <c r="Y1730" s="1156"/>
      <c r="Z1730" s="1156"/>
    </row>
    <row r="1731" spans="1:26">
      <c r="A1731" s="1156"/>
      <c r="B1731" s="2109" t="s">
        <v>3891</v>
      </c>
      <c r="C1731" s="1156"/>
      <c r="D1731" s="1156"/>
      <c r="E1731" s="2110"/>
      <c r="F1731" s="2110"/>
      <c r="G1731" s="2110"/>
      <c r="H1731" s="1156"/>
      <c r="I1731" s="2110">
        <f>'Part IX A-Scoring Criteria'!I177</f>
        <v>6000</v>
      </c>
      <c r="J1731" s="2110">
        <f>'Part IX A-Scoring Criteria'!J177</f>
        <v>0</v>
      </c>
      <c r="K1731" s="1156"/>
      <c r="L1731" s="1156"/>
      <c r="M1731" s="1156"/>
      <c r="N1731" s="1156"/>
      <c r="O1731" s="1156"/>
      <c r="P1731" s="1156"/>
      <c r="Q1731" s="1156"/>
      <c r="R1731" s="1156" t="s">
        <v>3653</v>
      </c>
      <c r="S1731" s="1156"/>
      <c r="T1731" s="1999" t="str">
        <f>'Part I-Project Information'!$K$40</f>
        <v>Urban</v>
      </c>
      <c r="U1731" s="1999"/>
      <c r="V1731" s="1999"/>
      <c r="W1731" s="1999"/>
      <c r="X1731" s="1999"/>
      <c r="Y1731" s="1156"/>
      <c r="Z1731" s="1156"/>
    </row>
    <row r="1732" spans="1:26" ht="13.5">
      <c r="A1732" s="2000"/>
      <c r="B1732" s="2010" t="s">
        <v>3652</v>
      </c>
      <c r="C1732" s="1156"/>
      <c r="D1732" s="1156"/>
      <c r="E1732" s="1156"/>
      <c r="F1732" s="1156"/>
      <c r="G1732" s="1156"/>
      <c r="H1732" s="2111" t="str">
        <f>IF(I1732&lt;I1731,"Threshold not met!","")</f>
        <v/>
      </c>
      <c r="I1732" s="2110">
        <f>'Part IX A-Scoring Criteria'!I178</f>
        <v>27429</v>
      </c>
      <c r="J1732" s="2110">
        <f>'Part IX A-Scoring Criteria'!J178</f>
        <v>0</v>
      </c>
      <c r="K1732" s="1894" t="str">
        <f>IF(J1732&lt;J1731,"Threshold not met!","")</f>
        <v/>
      </c>
      <c r="L1732" s="1156"/>
      <c r="M1732" s="1156"/>
      <c r="N1732" s="1156"/>
      <c r="O1732" s="1156"/>
      <c r="P1732" s="1156"/>
      <c r="Q1732" s="1156"/>
      <c r="R1732" s="1156"/>
      <c r="S1732" s="1156"/>
      <c r="T1732" s="1156"/>
      <c r="U1732" s="1156"/>
      <c r="V1732" s="1156"/>
      <c r="W1732" s="1156"/>
      <c r="X1732" s="1156"/>
      <c r="Y1732" s="1156"/>
      <c r="Z1732" s="1156"/>
    </row>
    <row r="1733" spans="1:26" ht="13.5">
      <c r="A1733" s="2000"/>
      <c r="B1733" s="2010"/>
      <c r="C1733" s="1156"/>
      <c r="D1733" s="1156"/>
      <c r="E1733" s="1156"/>
      <c r="F1733" s="1156"/>
      <c r="G1733" s="1156"/>
      <c r="H1733" s="1156"/>
      <c r="I1733" s="1156"/>
      <c r="J1733" s="1156"/>
      <c r="K1733" s="1156"/>
      <c r="L1733" s="1156"/>
      <c r="M1733" s="1156"/>
      <c r="N1733" s="1156"/>
      <c r="O1733" s="1156"/>
      <c r="P1733" s="1156"/>
      <c r="Q1733" s="1156"/>
      <c r="R1733" s="1156"/>
      <c r="S1733" s="1156"/>
      <c r="T1733" s="1156"/>
      <c r="U1733" s="1156"/>
      <c r="V1733" s="1156"/>
      <c r="W1733" s="1156"/>
      <c r="X1733" s="1156"/>
      <c r="Y1733" s="1156"/>
      <c r="Z1733" s="1156"/>
    </row>
    <row r="1734" spans="1:26">
      <c r="A1734" s="1156"/>
      <c r="B1734" s="2051" t="s">
        <v>2002</v>
      </c>
      <c r="C1734" s="478" t="s">
        <v>4219</v>
      </c>
      <c r="D1734" s="1999"/>
      <c r="E1734" s="1999"/>
      <c r="F1734" s="1999"/>
      <c r="G1734" s="1999"/>
      <c r="H1734" s="2112" t="s">
        <v>2002</v>
      </c>
      <c r="I1734" s="1983" t="str">
        <f>'Part IX A-Scoring Criteria'!I180</f>
        <v>Yes</v>
      </c>
      <c r="J1734" s="1983" t="str">
        <f>'Part IX A-Scoring Criteria'!J180</f>
        <v/>
      </c>
      <c r="K1734" s="1156"/>
      <c r="L1734" s="1156"/>
      <c r="M1734" s="1156"/>
      <c r="N1734" s="1156"/>
      <c r="O1734" s="1156"/>
      <c r="P1734" s="1156"/>
      <c r="Q1734" s="1156"/>
      <c r="R1734" s="1156"/>
      <c r="S1734" s="1156"/>
      <c r="T1734" s="1156"/>
      <c r="U1734" s="1156"/>
      <c r="V1734" s="1156"/>
      <c r="W1734" s="1156"/>
      <c r="X1734" s="1156"/>
      <c r="Y1734" s="1156"/>
      <c r="Z1734" s="1156"/>
    </row>
    <row r="1735" spans="1:26">
      <c r="A1735" s="1993" t="s">
        <v>1365</v>
      </c>
      <c r="B1735" s="2051" t="s">
        <v>2004</v>
      </c>
      <c r="C1735" s="478" t="s">
        <v>4047</v>
      </c>
      <c r="D1735" s="2099"/>
      <c r="E1735" s="2099"/>
      <c r="F1735" s="2099"/>
      <c r="G1735" s="1156"/>
      <c r="H1735" s="2112" t="s">
        <v>2004</v>
      </c>
      <c r="I1735" s="2113" t="str">
        <f>'Part IX A-Scoring Criteria'!I181</f>
        <v>Yes</v>
      </c>
      <c r="J1735" s="2113" t="str">
        <f>'Part IX A-Scoring Criteria'!J181</f>
        <v/>
      </c>
      <c r="K1735" s="1156"/>
      <c r="L1735" s="1156"/>
      <c r="M1735" s="1156"/>
      <c r="N1735" s="1156"/>
      <c r="O1735" s="1156"/>
      <c r="P1735" s="1156"/>
      <c r="Q1735" s="1156"/>
      <c r="R1735" s="1156"/>
      <c r="S1735" s="1156"/>
      <c r="T1735" s="1156"/>
      <c r="U1735" s="1156"/>
      <c r="V1735" s="1156"/>
      <c r="W1735" s="1156"/>
      <c r="X1735" s="1156"/>
      <c r="Y1735" s="1156"/>
      <c r="Z1735" s="1156"/>
    </row>
    <row r="1736" spans="1:26">
      <c r="A1736" s="1993"/>
      <c r="B1736" s="1855"/>
      <c r="C1736" s="2010" t="s">
        <v>3914</v>
      </c>
      <c r="D1736" s="2099"/>
      <c r="E1736" s="2099"/>
      <c r="F1736" s="2099"/>
      <c r="G1736" s="2088"/>
      <c r="H1736" s="1156"/>
      <c r="I1736" s="1992">
        <f>'Part IX A-Scoring Criteria'!I182</f>
        <v>3.5715000000000003</v>
      </c>
      <c r="J1736" s="1992">
        <f>'Part IX A-Scoring Criteria'!J182</f>
        <v>0</v>
      </c>
      <c r="K1736" s="1156"/>
      <c r="L1736" s="1156"/>
      <c r="M1736" s="1986"/>
      <c r="N1736" s="1156"/>
      <c r="O1736" s="1156"/>
      <c r="P1736" s="1156"/>
      <c r="Q1736" s="1156"/>
      <c r="R1736" s="1156"/>
      <c r="S1736" s="1156"/>
      <c r="T1736" s="1156"/>
      <c r="U1736" s="1156"/>
      <c r="V1736" s="1156"/>
      <c r="W1736" s="1156"/>
      <c r="X1736" s="1156"/>
      <c r="Y1736" s="1156"/>
      <c r="Z1736" s="1156"/>
    </row>
    <row r="1737" spans="1:26">
      <c r="A1737" s="1975"/>
      <c r="B1737" s="1975"/>
      <c r="C1737" s="1156"/>
      <c r="D1737" s="1156"/>
      <c r="E1737" s="1156"/>
      <c r="F1737" s="1156"/>
      <c r="G1737" s="1156"/>
      <c r="H1737" s="1156"/>
      <c r="I1737" s="1156"/>
      <c r="J1737" s="1156"/>
      <c r="K1737" s="1986"/>
      <c r="L1737" s="1986"/>
      <c r="M1737" s="1156"/>
      <c r="N1737" s="1156"/>
      <c r="O1737" s="1156"/>
      <c r="P1737" s="1156"/>
      <c r="Q1737" s="1156"/>
      <c r="R1737" s="1156"/>
      <c r="S1737" s="1156"/>
      <c r="T1737" s="1156"/>
      <c r="U1737" s="1156"/>
      <c r="V1737" s="1156"/>
      <c r="W1737" s="1156"/>
      <c r="X1737" s="1156"/>
      <c r="Y1737" s="1156"/>
      <c r="Z1737" s="1156"/>
    </row>
    <row r="1738" spans="1:26" ht="15">
      <c r="A1738" s="1629"/>
      <c r="B1738" s="2041" t="s">
        <v>3780</v>
      </c>
      <c r="C1738" s="1629"/>
      <c r="D1738" s="1830"/>
      <c r="E1738" s="1830"/>
      <c r="F1738" s="1830"/>
      <c r="G1738" s="1830"/>
      <c r="H1738" s="478"/>
      <c r="I1738" s="478"/>
      <c r="J1738" s="478"/>
      <c r="K1738" s="478"/>
      <c r="L1738" s="2022"/>
      <c r="M1738" s="1828"/>
      <c r="N1738" s="1824"/>
      <c r="O1738" s="2021"/>
      <c r="P1738" s="1826"/>
      <c r="Q1738" s="2022"/>
      <c r="R1738" s="2022"/>
      <c r="S1738" s="2022"/>
      <c r="T1738" s="2022"/>
      <c r="U1738" s="2022"/>
      <c r="V1738" s="2022"/>
      <c r="W1738" s="2022"/>
      <c r="X1738" s="2022"/>
      <c r="Y1738" s="2022"/>
      <c r="Z1738" s="2022"/>
    </row>
    <row r="1739" spans="1:26" ht="409.5">
      <c r="A1739" s="1936" t="str">
        <f>'Part IX A-Scoring Criteria'!A185</f>
        <v xml:space="preserve">Scoring Section A, Quality Education Areas, is N/A.
For Scoring Section B, Workforce Housing Need, Tindall Fields III qualifies for the maximum two points in this scoring section.  According to the US Census survey (enclosed at Tab 31-03), there are over 27,429 jobs within a two-mile radius of our property, an increase of over 1,000 jobs from last year, and which is over three times the 9,000 jobs required to meet the 50%-over-threshold requirement for Macon-Bibb.  Again, please see Tab 31-03 and Tab 31-04 for the required documentation.
</v>
      </c>
      <c r="B1739" s="1936">
        <f>'Part IX A-Scoring Criteria'!B185</f>
        <v>0</v>
      </c>
      <c r="C1739" s="1936">
        <f>'Part IX A-Scoring Criteria'!C185</f>
        <v>0</v>
      </c>
      <c r="D1739" s="1936">
        <f>'Part IX A-Scoring Criteria'!D185</f>
        <v>0</v>
      </c>
      <c r="E1739" s="1936">
        <f>'Part IX A-Scoring Criteria'!E185</f>
        <v>0</v>
      </c>
      <c r="F1739" s="1936">
        <f>'Part IX A-Scoring Criteria'!F185</f>
        <v>0</v>
      </c>
      <c r="G1739" s="1936">
        <f>'Part IX A-Scoring Criteria'!G185</f>
        <v>0</v>
      </c>
      <c r="H1739" s="1936">
        <f>'Part IX A-Scoring Criteria'!H185</f>
        <v>0</v>
      </c>
      <c r="I1739" s="1936">
        <f>'Part IX A-Scoring Criteria'!I185</f>
        <v>0</v>
      </c>
      <c r="J1739" s="1936">
        <f>'Part IX A-Scoring Criteria'!J185</f>
        <v>0</v>
      </c>
      <c r="K1739" s="1936">
        <f>'Part IX A-Scoring Criteria'!K185</f>
        <v>0</v>
      </c>
      <c r="L1739" s="1936">
        <f>'Part IX A-Scoring Criteria'!L185</f>
        <v>0</v>
      </c>
      <c r="M1739" s="1936">
        <f>'Part IX A-Scoring Criteria'!M185</f>
        <v>0</v>
      </c>
      <c r="N1739" s="1936">
        <f>'Part IX A-Scoring Criteria'!N185</f>
        <v>0</v>
      </c>
      <c r="O1739" s="1936">
        <f>'Part IX A-Scoring Criteria'!O185</f>
        <v>0</v>
      </c>
      <c r="P1739" s="1936">
        <f>'Part IX A-Scoring Criteria'!P185</f>
        <v>0</v>
      </c>
      <c r="Q1739" s="2030"/>
      <c r="R1739" s="2022"/>
      <c r="S1739" s="2022"/>
      <c r="T1739" s="2022"/>
      <c r="U1739" s="2022"/>
      <c r="V1739" s="2022"/>
      <c r="W1739" s="2022"/>
      <c r="X1739" s="2022"/>
      <c r="Y1739" s="2022"/>
      <c r="Z1739" s="2022"/>
    </row>
    <row r="1740" spans="1:26" ht="15">
      <c r="A1740" s="1629"/>
      <c r="B1740" s="1937" t="s">
        <v>1880</v>
      </c>
      <c r="C1740" s="1629"/>
      <c r="D1740" s="1937"/>
      <c r="E1740" s="1939"/>
      <c r="F1740" s="1939"/>
      <c r="G1740" s="1939"/>
      <c r="H1740" s="1939"/>
      <c r="I1740" s="1939"/>
      <c r="J1740" s="1939"/>
      <c r="K1740" s="1939"/>
      <c r="L1740" s="1939"/>
      <c r="M1740" s="1939"/>
      <c r="N1740" s="2057"/>
      <c r="O1740" s="2028"/>
      <c r="P1740" s="1837"/>
      <c r="Q1740" s="2053"/>
      <c r="R1740" s="2022"/>
      <c r="S1740" s="2022"/>
      <c r="T1740" s="2022"/>
      <c r="U1740" s="2022"/>
      <c r="V1740" s="2022"/>
      <c r="W1740" s="2022"/>
      <c r="X1740" s="2022"/>
      <c r="Y1740" s="2022"/>
      <c r="Z1740" s="2022"/>
    </row>
    <row r="1741" spans="1:26" ht="15.75">
      <c r="A1741" s="1936">
        <f>'Part IX A-Scoring Criteria'!A187</f>
        <v>0</v>
      </c>
      <c r="B1741" s="1936">
        <f>'Part IX A-Scoring Criteria'!B187</f>
        <v>0</v>
      </c>
      <c r="C1741" s="1936">
        <f>'Part IX A-Scoring Criteria'!C187</f>
        <v>0</v>
      </c>
      <c r="D1741" s="1936">
        <f>'Part IX A-Scoring Criteria'!D187</f>
        <v>0</v>
      </c>
      <c r="E1741" s="1936">
        <f>'Part IX A-Scoring Criteria'!E187</f>
        <v>0</v>
      </c>
      <c r="F1741" s="1936">
        <f>'Part IX A-Scoring Criteria'!F187</f>
        <v>0</v>
      </c>
      <c r="G1741" s="1936">
        <f>'Part IX A-Scoring Criteria'!G187</f>
        <v>0</v>
      </c>
      <c r="H1741" s="1936">
        <f>'Part IX A-Scoring Criteria'!H187</f>
        <v>0</v>
      </c>
      <c r="I1741" s="1936">
        <f>'Part IX A-Scoring Criteria'!I187</f>
        <v>0</v>
      </c>
      <c r="J1741" s="1936">
        <f>'Part IX A-Scoring Criteria'!J187</f>
        <v>0</v>
      </c>
      <c r="K1741" s="1936">
        <f>'Part IX A-Scoring Criteria'!K187</f>
        <v>0</v>
      </c>
      <c r="L1741" s="1936">
        <f>'Part IX A-Scoring Criteria'!L187</f>
        <v>0</v>
      </c>
      <c r="M1741" s="1936">
        <f>'Part IX A-Scoring Criteria'!M187</f>
        <v>0</v>
      </c>
      <c r="N1741" s="1936">
        <f>'Part IX A-Scoring Criteria'!N187</f>
        <v>0</v>
      </c>
      <c r="O1741" s="1936">
        <f>'Part IX A-Scoring Criteria'!O187</f>
        <v>0</v>
      </c>
      <c r="P1741" s="1936">
        <f>'Part IX A-Scoring Criteria'!P187</f>
        <v>0</v>
      </c>
      <c r="Q1741" s="2030"/>
      <c r="R1741" s="2022"/>
      <c r="S1741" s="2022"/>
      <c r="T1741" s="2022"/>
      <c r="U1741" s="2022"/>
      <c r="V1741" s="2022"/>
      <c r="W1741" s="2022"/>
      <c r="X1741" s="2022"/>
      <c r="Y1741" s="2022"/>
      <c r="Z1741" s="2022"/>
    </row>
    <row r="1742" spans="1:26" ht="15">
      <c r="A1742" s="1629"/>
      <c r="B1742" s="2022"/>
      <c r="C1742" s="1939"/>
      <c r="D1742" s="1939"/>
      <c r="E1742" s="1939"/>
      <c r="F1742" s="1939"/>
      <c r="G1742" s="1939"/>
      <c r="H1742" s="1939"/>
      <c r="I1742" s="1939"/>
      <c r="J1742" s="1939"/>
      <c r="K1742" s="1939"/>
      <c r="L1742" s="1939"/>
      <c r="M1742" s="1939"/>
      <c r="N1742" s="2057"/>
      <c r="O1742" s="2028"/>
      <c r="P1742" s="1837"/>
      <c r="Q1742" s="2022"/>
      <c r="R1742" s="2022"/>
      <c r="S1742" s="2022"/>
      <c r="T1742" s="2022"/>
      <c r="U1742" s="2022"/>
      <c r="V1742" s="2022"/>
      <c r="W1742" s="2022"/>
      <c r="X1742" s="2022"/>
      <c r="Y1742" s="2022"/>
      <c r="Z1742" s="2022"/>
    </row>
    <row r="1743" spans="1:26" ht="15">
      <c r="A1743" s="2023" t="s">
        <v>294</v>
      </c>
      <c r="B1743" s="2024" t="s">
        <v>4053</v>
      </c>
      <c r="C1743" s="2040"/>
      <c r="D1743" s="2041"/>
      <c r="E1743" s="2041"/>
      <c r="F1743" s="2040"/>
      <c r="G1743" s="2040"/>
      <c r="H1743" s="1873" t="s">
        <v>4054</v>
      </c>
      <c r="I1743" s="2114"/>
      <c r="J1743" s="2114"/>
      <c r="K1743" s="1934"/>
      <c r="L1743" s="1934"/>
      <c r="M1743" s="1837">
        <v>7</v>
      </c>
      <c r="N1743" s="1828"/>
      <c r="O1743" s="2021">
        <f>'Part IX A-Scoring Criteria'!O189</f>
        <v>7</v>
      </c>
      <c r="P1743" s="2021">
        <f>'Part IX A-Scoring Criteria'!P189</f>
        <v>0</v>
      </c>
      <c r="Q1743" s="1837" t="s">
        <v>443</v>
      </c>
      <c r="R1743" s="2022"/>
      <c r="S1743" s="2040"/>
      <c r="T1743" s="2040"/>
      <c r="U1743" s="2040"/>
      <c r="V1743" s="2040"/>
      <c r="W1743" s="2040"/>
      <c r="X1743" s="2040"/>
      <c r="Y1743" s="2040"/>
      <c r="Z1743" s="2040"/>
    </row>
    <row r="1744" spans="1:26" ht="18.75">
      <c r="A1744" s="1975"/>
      <c r="B1744" s="2010"/>
      <c r="D1744" s="1986"/>
      <c r="E1744" s="2010"/>
      <c r="G1744" s="2115"/>
      <c r="H1744" s="2010"/>
      <c r="I1744" s="1872"/>
      <c r="K1744" s="1872"/>
      <c r="R1744" s="2089"/>
      <c r="S1744" s="2089"/>
    </row>
    <row r="1745" spans="1:26" ht="15">
      <c r="A1745" s="1837"/>
      <c r="B1745" s="1844" t="s">
        <v>4830</v>
      </c>
      <c r="C1745" s="1844"/>
      <c r="D1745" s="1844"/>
      <c r="E1745" s="1631" t="s">
        <v>4229</v>
      </c>
      <c r="F1745" s="1844"/>
      <c r="G1745" s="1844"/>
      <c r="H1745" s="1844"/>
      <c r="I1745" s="1844"/>
      <c r="J1745" s="1844"/>
      <c r="K1745" s="1844"/>
      <c r="L1745" s="1844"/>
      <c r="M1745" s="1844"/>
      <c r="N1745" s="1844"/>
      <c r="O1745" s="1844"/>
      <c r="P1745" s="1844"/>
      <c r="Q1745" s="2022"/>
      <c r="R1745" s="2022"/>
      <c r="S1745" s="2022"/>
      <c r="T1745" s="2022"/>
      <c r="U1745" s="2022"/>
      <c r="V1745" s="2022"/>
      <c r="W1745" s="2022"/>
      <c r="X1745" s="2022"/>
      <c r="Y1745" s="2022"/>
      <c r="Z1745" s="2022"/>
    </row>
    <row r="1746" spans="1:26" ht="15">
      <c r="A1746" s="1837"/>
      <c r="B1746" s="2022"/>
      <c r="C1746" s="1844"/>
      <c r="D1746" s="1844"/>
      <c r="E1746" s="1844"/>
      <c r="F1746" s="1844"/>
      <c r="G1746" s="1844"/>
      <c r="H1746" s="1844"/>
      <c r="I1746" s="1844"/>
      <c r="J1746" s="1844"/>
      <c r="K1746" s="1986" t="s">
        <v>2527</v>
      </c>
      <c r="L1746" s="1986" t="s">
        <v>2527</v>
      </c>
      <c r="M1746" s="2022"/>
      <c r="N1746" s="1999"/>
      <c r="O1746" s="2022"/>
      <c r="P1746" s="1999"/>
      <c r="Q1746" s="2022"/>
      <c r="R1746" s="2022"/>
      <c r="S1746" s="2022"/>
      <c r="T1746" s="2022"/>
      <c r="U1746" s="2022"/>
      <c r="V1746" s="2022"/>
      <c r="W1746" s="2022"/>
      <c r="X1746" s="2022"/>
      <c r="Y1746" s="2022"/>
      <c r="Z1746" s="2022"/>
    </row>
    <row r="1747" spans="1:26" ht="12.75" customHeight="1">
      <c r="A1747" s="1953"/>
      <c r="B1747" s="1987" t="s">
        <v>2451</v>
      </c>
      <c r="C1747" s="1936" t="s">
        <v>4182</v>
      </c>
      <c r="D1747" s="1936"/>
      <c r="E1747" s="1936"/>
      <c r="F1747" s="1936"/>
      <c r="G1747" s="1936"/>
      <c r="H1747" s="1936"/>
      <c r="I1747" s="1936"/>
      <c r="J1747" s="1987" t="s">
        <v>2451</v>
      </c>
      <c r="K1747" s="1942" t="str">
        <f>'Part IX A-Scoring Criteria'!K193</f>
        <v>Yes</v>
      </c>
      <c r="L1747" s="1942">
        <f>'Part IX A-Scoring Criteria'!L193</f>
        <v>0</v>
      </c>
      <c r="M1747" s="2116" t="str">
        <f>'Part IX A-Scoring Criteria'!M193</f>
        <v>URP Page 20</v>
      </c>
      <c r="N1747" s="2116">
        <f>'Part IX A-Scoring Criteria'!N193</f>
        <v>0</v>
      </c>
      <c r="O1747" s="2116">
        <f>'Part IX A-Scoring Criteria'!O193</f>
        <v>0</v>
      </c>
      <c r="P1747" s="2116">
        <f>'Part IX A-Scoring Criteria'!P193</f>
        <v>0</v>
      </c>
      <c r="Q1747" s="1953"/>
      <c r="R1747" s="1953"/>
      <c r="S1747" s="1953"/>
      <c r="T1747" s="1953"/>
      <c r="U1747" s="1953"/>
      <c r="V1747" s="1953"/>
      <c r="W1747" s="1953"/>
      <c r="X1747" s="1953"/>
      <c r="Y1747" s="1953"/>
      <c r="Z1747" s="1953"/>
    </row>
    <row r="1748" spans="1:26" ht="15">
      <c r="A1748" s="1826"/>
      <c r="B1748" s="1977"/>
      <c r="C1748" s="1936"/>
      <c r="D1748" s="1936"/>
      <c r="E1748" s="1936"/>
      <c r="F1748" s="1936"/>
      <c r="G1748" s="1936"/>
      <c r="H1748" s="1936"/>
      <c r="I1748" s="1936"/>
      <c r="J1748" s="2022"/>
      <c r="K1748" s="2117"/>
      <c r="L1748" s="2117"/>
      <c r="M1748" s="2022"/>
      <c r="N1748" s="2022"/>
      <c r="O1748" s="2022"/>
      <c r="P1748" s="2022"/>
      <c r="Q1748" s="2022"/>
      <c r="R1748" s="2022"/>
      <c r="S1748" s="2022"/>
      <c r="T1748" s="2022"/>
      <c r="U1748" s="2022"/>
      <c r="V1748" s="2022"/>
      <c r="W1748" s="2022"/>
      <c r="X1748" s="2022"/>
      <c r="Y1748" s="2022"/>
      <c r="Z1748" s="2022"/>
    </row>
    <row r="1749" spans="1:26" ht="15" customHeight="1">
      <c r="A1749" s="1826"/>
      <c r="B1749" s="1987" t="s">
        <v>2452</v>
      </c>
      <c r="C1749" s="1936" t="s">
        <v>4831</v>
      </c>
      <c r="D1749" s="1936"/>
      <c r="E1749" s="1936"/>
      <c r="F1749" s="1936"/>
      <c r="G1749" s="1936"/>
      <c r="H1749" s="2022"/>
      <c r="I1749" s="2022"/>
      <c r="J1749" s="1977" t="s">
        <v>2452</v>
      </c>
      <c r="K1749" s="1942" t="str">
        <f>'Part IX A-Scoring Criteria'!K195</f>
        <v>Yes</v>
      </c>
      <c r="L1749" s="1942">
        <f>'Part IX A-Scoring Criteria'!L195</f>
        <v>0</v>
      </c>
      <c r="M1749" s="2116" t="str">
        <f>'Part IX A-Scoring Criteria'!M195</f>
        <v>URP Pages 91-97; Pages 103-105</v>
      </c>
      <c r="N1749" s="2116">
        <f>'Part IX A-Scoring Criteria'!N195</f>
        <v>0</v>
      </c>
      <c r="O1749" s="2116">
        <f>'Part IX A-Scoring Criteria'!O195</f>
        <v>0</v>
      </c>
      <c r="P1749" s="2116">
        <f>'Part IX A-Scoring Criteria'!P195</f>
        <v>0</v>
      </c>
      <c r="Q1749" s="2022"/>
      <c r="R1749" s="2022"/>
      <c r="S1749" s="2022"/>
      <c r="T1749" s="2022"/>
      <c r="U1749" s="2022"/>
      <c r="V1749" s="2022"/>
      <c r="W1749" s="2022"/>
      <c r="X1749" s="2022"/>
      <c r="Y1749" s="2022"/>
      <c r="Z1749" s="2022"/>
    </row>
    <row r="1750" spans="1:26" ht="12.75" customHeight="1">
      <c r="A1750" s="1953"/>
      <c r="B1750" s="1987" t="s">
        <v>2453</v>
      </c>
      <c r="C1750" s="1961" t="s">
        <v>2843</v>
      </c>
      <c r="D1750" s="1961"/>
      <c r="E1750" s="1961"/>
      <c r="F1750" s="1961"/>
      <c r="G1750" s="1961"/>
      <c r="H1750" s="1961"/>
      <c r="I1750" s="1953"/>
      <c r="J1750" s="1987" t="s">
        <v>2453</v>
      </c>
      <c r="K1750" s="1942" t="str">
        <f>'Part IX A-Scoring Criteria'!K196</f>
        <v>Yes</v>
      </c>
      <c r="L1750" s="1942">
        <f>'Part IX A-Scoring Criteria'!L196</f>
        <v>0</v>
      </c>
      <c r="M1750" s="2116" t="str">
        <f>'Part IX A-Scoring Criteria'!M196</f>
        <v>URP Page 68 and Page 136</v>
      </c>
      <c r="N1750" s="2116">
        <f>'Part IX A-Scoring Criteria'!N196</f>
        <v>0</v>
      </c>
      <c r="O1750" s="2116">
        <f>'Part IX A-Scoring Criteria'!O196</f>
        <v>0</v>
      </c>
      <c r="P1750" s="2116">
        <f>'Part IX A-Scoring Criteria'!P196</f>
        <v>0</v>
      </c>
      <c r="Q1750" s="1953"/>
      <c r="R1750" s="1953"/>
      <c r="S1750" s="1953"/>
      <c r="T1750" s="1953"/>
      <c r="U1750" s="1953"/>
      <c r="V1750" s="1953"/>
      <c r="W1750" s="1953"/>
      <c r="X1750" s="1953"/>
      <c r="Y1750" s="1953"/>
      <c r="Z1750" s="1953"/>
    </row>
    <row r="1751" spans="1:26" ht="12.75" customHeight="1">
      <c r="A1751" s="1953"/>
      <c r="B1751" s="1987" t="s">
        <v>2454</v>
      </c>
      <c r="C1751" s="2037" t="s">
        <v>4058</v>
      </c>
      <c r="D1751" s="1961"/>
      <c r="E1751" s="1961"/>
      <c r="F1751" s="1961"/>
      <c r="G1751" s="1961"/>
      <c r="H1751" s="1961"/>
      <c r="I1751" s="1953"/>
      <c r="J1751" s="1987" t="s">
        <v>2454</v>
      </c>
      <c r="K1751" s="1942" t="str">
        <f>'Part IX A-Scoring Criteria'!K197</f>
        <v>Yes</v>
      </c>
      <c r="L1751" s="1942">
        <f>'Part IX A-Scoring Criteria'!L197</f>
        <v>0</v>
      </c>
      <c r="M1751" s="2116" t="str">
        <f>'Part IX A-Scoring Criteria'!M197</f>
        <v>URP Pages 66-67, 68, 136-138</v>
      </c>
      <c r="N1751" s="2116">
        <f>'Part IX A-Scoring Criteria'!N197</f>
        <v>0</v>
      </c>
      <c r="O1751" s="2116">
        <f>'Part IX A-Scoring Criteria'!O197</f>
        <v>0</v>
      </c>
      <c r="P1751" s="2116">
        <f>'Part IX A-Scoring Criteria'!P197</f>
        <v>0</v>
      </c>
      <c r="Q1751" s="1953"/>
      <c r="R1751" s="1953"/>
      <c r="S1751" s="1953"/>
      <c r="T1751" s="1953"/>
      <c r="U1751" s="1953"/>
      <c r="V1751" s="1953"/>
      <c r="W1751" s="1953"/>
      <c r="X1751" s="1953"/>
      <c r="Y1751" s="1953"/>
      <c r="Z1751" s="1953"/>
    </row>
    <row r="1752" spans="1:26">
      <c r="A1752" s="1953"/>
      <c r="B1752" s="1987"/>
      <c r="C1752" s="1953"/>
      <c r="D1752" s="1961" t="s">
        <v>4227</v>
      </c>
      <c r="E1752" s="1961"/>
      <c r="F1752" s="1953"/>
      <c r="G1752" s="1953"/>
      <c r="H1752" s="1961"/>
      <c r="I1752" s="1953"/>
      <c r="J1752" s="1987"/>
      <c r="K1752" s="1942" t="str">
        <f>'Part IX A-Scoring Criteria'!K198</f>
        <v>Yes</v>
      </c>
      <c r="L1752" s="1942">
        <f>'Part IX A-Scoring Criteria'!L198</f>
        <v>0</v>
      </c>
      <c r="M1752" s="1953"/>
      <c r="N1752" s="1953"/>
      <c r="O1752" s="1953"/>
      <c r="P1752" s="1953"/>
      <c r="Q1752" s="1953"/>
      <c r="R1752" s="1953"/>
      <c r="S1752" s="1953"/>
      <c r="T1752" s="1953"/>
      <c r="U1752" s="1953"/>
      <c r="V1752" s="1953"/>
      <c r="W1752" s="1953"/>
      <c r="X1752" s="1953"/>
      <c r="Y1752" s="1953"/>
      <c r="Z1752" s="1953"/>
    </row>
    <row r="1753" spans="1:26" ht="12.75" customHeight="1">
      <c r="A1753" s="1953"/>
      <c r="B1753" s="1987" t="s">
        <v>2455</v>
      </c>
      <c r="C1753" s="1961" t="s">
        <v>4048</v>
      </c>
      <c r="D1753" s="1961"/>
      <c r="E1753" s="1961"/>
      <c r="F1753" s="1961"/>
      <c r="G1753" s="1961"/>
      <c r="H1753" s="1961"/>
      <c r="I1753" s="1953"/>
      <c r="J1753" s="1987" t="s">
        <v>2455</v>
      </c>
      <c r="K1753" s="1942" t="str">
        <f>'Part IX A-Scoring Criteria'!K199</f>
        <v>Yes</v>
      </c>
      <c r="L1753" s="1942">
        <f>'Part IX A-Scoring Criteria'!L199</f>
        <v>0</v>
      </c>
      <c r="M1753" s="2116" t="str">
        <f>'Part IX A-Scoring Criteria'!M199</f>
        <v>URP Pages 27-63</v>
      </c>
      <c r="N1753" s="2116">
        <f>'Part IX A-Scoring Criteria'!N199</f>
        <v>0</v>
      </c>
      <c r="O1753" s="2116">
        <f>'Part IX A-Scoring Criteria'!O199</f>
        <v>0</v>
      </c>
      <c r="P1753" s="2116">
        <f>'Part IX A-Scoring Criteria'!P199</f>
        <v>0</v>
      </c>
      <c r="Q1753" s="1953"/>
      <c r="R1753" s="1953"/>
      <c r="S1753" s="1953"/>
      <c r="T1753" s="1953"/>
      <c r="U1753" s="1953"/>
      <c r="V1753" s="1953"/>
      <c r="W1753" s="1953"/>
      <c r="X1753" s="1953"/>
      <c r="Y1753" s="1953"/>
      <c r="Z1753" s="1953"/>
    </row>
    <row r="1754" spans="1:26" ht="12.75" customHeight="1">
      <c r="A1754" s="1953"/>
      <c r="B1754" s="1987" t="s">
        <v>2471</v>
      </c>
      <c r="C1754" s="1961" t="s">
        <v>2844</v>
      </c>
      <c r="D1754" s="1961"/>
      <c r="E1754" s="1961"/>
      <c r="F1754" s="1961"/>
      <c r="G1754" s="1961"/>
      <c r="H1754" s="1953"/>
      <c r="I1754" s="1953"/>
      <c r="J1754" s="1987" t="s">
        <v>2471</v>
      </c>
      <c r="K1754" s="1942" t="str">
        <f>'Part IX A-Scoring Criteria'!K200</f>
        <v>Yes</v>
      </c>
      <c r="L1754" s="1942">
        <f>'Part IX A-Scoring Criteria'!L200</f>
        <v>0</v>
      </c>
      <c r="M1754" s="2116" t="str">
        <f>'Part IX A-Scoring Criteria'!M200</f>
        <v>URP Pages 7,8,132</v>
      </c>
      <c r="N1754" s="2116">
        <f>'Part IX A-Scoring Criteria'!N200</f>
        <v>0</v>
      </c>
      <c r="O1754" s="2116">
        <f>'Part IX A-Scoring Criteria'!O200</f>
        <v>0</v>
      </c>
      <c r="P1754" s="2116">
        <f>'Part IX A-Scoring Criteria'!P200</f>
        <v>0</v>
      </c>
      <c r="Q1754" s="1953"/>
      <c r="R1754" s="1953"/>
      <c r="S1754" s="1953"/>
      <c r="T1754" s="1953"/>
      <c r="U1754" s="1953"/>
      <c r="V1754" s="1953"/>
      <c r="W1754" s="1953"/>
      <c r="X1754" s="1953"/>
      <c r="Y1754" s="1953"/>
      <c r="Z1754" s="1953"/>
    </row>
    <row r="1755" spans="1:26">
      <c r="A1755" s="1953"/>
      <c r="B1755" s="1987" t="s">
        <v>2472</v>
      </c>
      <c r="C1755" s="1961" t="s">
        <v>4049</v>
      </c>
      <c r="D1755" s="1961"/>
      <c r="E1755" s="1961"/>
      <c r="F1755" s="1961"/>
      <c r="G1755" s="1953"/>
      <c r="H1755" s="1953"/>
      <c r="I1755" s="1953"/>
      <c r="J1755" s="1987" t="s">
        <v>2472</v>
      </c>
      <c r="K1755" s="1942" t="str">
        <f>'Part IX A-Scoring Criteria'!K201</f>
        <v>Yes</v>
      </c>
      <c r="L1755" s="1942">
        <f>'Part IX A-Scoring Criteria'!L201</f>
        <v>0</v>
      </c>
      <c r="M1755" s="1953"/>
      <c r="N1755" s="1953"/>
      <c r="O1755" s="1953"/>
      <c r="P1755" s="1953"/>
      <c r="Q1755" s="1953"/>
      <c r="R1755" s="1953"/>
      <c r="S1755" s="1953"/>
      <c r="T1755" s="1953"/>
      <c r="U1755" s="1953"/>
      <c r="V1755" s="1953"/>
      <c r="W1755" s="1953"/>
      <c r="X1755" s="1953"/>
      <c r="Y1755" s="1953"/>
      <c r="Z1755" s="1953"/>
    </row>
    <row r="1756" spans="1:26">
      <c r="A1756" s="1953"/>
      <c r="B1756" s="1987"/>
      <c r="C1756" s="1961"/>
      <c r="D1756" s="1961" t="s">
        <v>4050</v>
      </c>
      <c r="E1756" s="1961"/>
      <c r="F1756" s="2118" t="str">
        <f>'Part IX A-Scoring Criteria'!F202</f>
        <v>5.20.14</v>
      </c>
      <c r="G1756" s="2118">
        <f>'Part IX A-Scoring Criteria'!G202</f>
        <v>0</v>
      </c>
      <c r="H1756" s="1953"/>
      <c r="I1756" s="1961" t="s">
        <v>4051</v>
      </c>
      <c r="J1756" s="1953"/>
      <c r="K1756" s="2118" t="str">
        <f>'Part IX A-Scoring Criteria'!K202</f>
        <v>5.1.18</v>
      </c>
      <c r="L1756" s="2118">
        <f>'Part IX A-Scoring Criteria'!L202</f>
        <v>0</v>
      </c>
      <c r="M1756" s="1953"/>
      <c r="N1756" s="1953"/>
      <c r="O1756" s="1953"/>
      <c r="P1756" s="1953"/>
      <c r="Q1756" s="1953"/>
      <c r="R1756" s="1953"/>
      <c r="S1756" s="1953"/>
      <c r="T1756" s="1953"/>
      <c r="U1756" s="1953"/>
      <c r="V1756" s="1953"/>
      <c r="W1756" s="1953"/>
      <c r="X1756" s="1953"/>
      <c r="Y1756" s="1953"/>
      <c r="Z1756" s="1953"/>
    </row>
    <row r="1757" spans="1:26">
      <c r="A1757" s="1953"/>
      <c r="B1757" s="1987" t="s">
        <v>2473</v>
      </c>
      <c r="C1757" s="1961" t="s">
        <v>4832</v>
      </c>
      <c r="D1757" s="1961"/>
      <c r="E1757" s="1961"/>
      <c r="F1757" s="1961"/>
      <c r="G1757" s="1953"/>
      <c r="H1757" s="1953"/>
      <c r="I1757" s="1953"/>
      <c r="J1757" s="1987" t="s">
        <v>2473</v>
      </c>
      <c r="K1757" s="1942" t="str">
        <f>'Part IX A-Scoring Criteria'!K203</f>
        <v>Yes</v>
      </c>
      <c r="L1757" s="1942">
        <f>'Part IX A-Scoring Criteria'!L203</f>
        <v>0</v>
      </c>
      <c r="M1757" s="1953"/>
      <c r="N1757" s="1953"/>
      <c r="O1757" s="1953"/>
      <c r="P1757" s="1953"/>
      <c r="Q1757" s="1953"/>
      <c r="R1757" s="1953"/>
      <c r="S1757" s="1953"/>
      <c r="T1757" s="1953"/>
      <c r="U1757" s="1953"/>
      <c r="V1757" s="1953"/>
      <c r="W1757" s="1953"/>
      <c r="X1757" s="1953"/>
      <c r="Y1757" s="1953"/>
      <c r="Z1757" s="1953"/>
    </row>
    <row r="1758" spans="1:26">
      <c r="A1758" s="1975"/>
      <c r="B1758" s="2010"/>
      <c r="D1758" s="1986"/>
      <c r="E1758" s="2010"/>
      <c r="G1758" s="2115"/>
      <c r="H1758" s="2010"/>
      <c r="I1758" s="1872"/>
      <c r="K1758" s="1872"/>
    </row>
    <row r="1759" spans="1:26" ht="120">
      <c r="B1759" s="1969" t="s">
        <v>4183</v>
      </c>
      <c r="E1759" s="1629"/>
      <c r="G1759" s="2084" t="str">
        <f>'Part IX A-Scoring Criteria'!G205</f>
        <v>http://www.maconbibb.us/wp-content/uploads/2018/05/MBC-Urban-Redevelopment-Plan-2018.pdf</v>
      </c>
      <c r="H1759" s="2084">
        <f>'Part IX A-Scoring Criteria'!H205</f>
        <v>0</v>
      </c>
      <c r="I1759" s="2084">
        <f>'Part IX A-Scoring Criteria'!I205</f>
        <v>0</v>
      </c>
      <c r="J1759" s="2084">
        <f>'Part IX A-Scoring Criteria'!J205</f>
        <v>0</v>
      </c>
      <c r="K1759" s="2084">
        <f>'Part IX A-Scoring Criteria'!K205</f>
        <v>0</v>
      </c>
      <c r="L1759" s="2084">
        <f>'Part IX A-Scoring Criteria'!L205</f>
        <v>0</v>
      </c>
      <c r="M1759" s="2084">
        <f>'Part IX A-Scoring Criteria'!M205</f>
        <v>0</v>
      </c>
      <c r="N1759" s="2084">
        <f>'Part IX A-Scoring Criteria'!N205</f>
        <v>0</v>
      </c>
      <c r="O1759" s="2084">
        <f>'Part IX A-Scoring Criteria'!O205</f>
        <v>0</v>
      </c>
      <c r="P1759" s="2084">
        <f>'Part IX A-Scoring Criteria'!P205</f>
        <v>0</v>
      </c>
      <c r="Q1759" s="2105"/>
    </row>
    <row r="1760" spans="1:26">
      <c r="B1760" s="1977"/>
      <c r="C1760" s="478"/>
      <c r="K1760" s="1872"/>
      <c r="M1760" s="1826"/>
      <c r="N1760" s="1826"/>
      <c r="O1760" s="1826"/>
      <c r="P1760" s="1826"/>
    </row>
    <row r="1761" spans="1:26">
      <c r="A1761" s="1855" t="s">
        <v>1999</v>
      </c>
      <c r="B1761" s="1844" t="s">
        <v>4052</v>
      </c>
      <c r="M1761" s="1828">
        <v>5</v>
      </c>
      <c r="N1761" s="1975" t="s">
        <v>1999</v>
      </c>
      <c r="O1761" s="2119">
        <f>'Part IX A-Scoring Criteria'!O207</f>
        <v>5</v>
      </c>
      <c r="P1761" s="2119">
        <f>'Part IX A-Scoring Criteria'!P207</f>
        <v>0</v>
      </c>
      <c r="Q1761" s="1681"/>
      <c r="X1761" s="1826"/>
      <c r="Y1761" s="1977"/>
    </row>
    <row r="1762" spans="1:26" ht="12.75" customHeight="1">
      <c r="A1762" s="1975"/>
      <c r="B1762" s="2098" t="s">
        <v>2002</v>
      </c>
      <c r="C1762" s="1936" t="s">
        <v>4833</v>
      </c>
      <c r="D1762" s="1936"/>
      <c r="E1762" s="1936"/>
      <c r="F1762" s="1936"/>
      <c r="G1762" s="1936"/>
      <c r="H1762" s="1936"/>
      <c r="I1762" s="1936"/>
      <c r="J1762" s="1936"/>
      <c r="K1762" s="1936"/>
      <c r="L1762" s="1985" t="str">
        <f>IF(OR($O1762=$M1762,$O1762=0,$O1762=""),"","* * Check Score! * *")</f>
        <v/>
      </c>
      <c r="M1762" s="1991">
        <v>3</v>
      </c>
      <c r="N1762" s="2067" t="s">
        <v>2002</v>
      </c>
      <c r="O1762" s="2060">
        <f>'Part IX A-Scoring Criteria'!O208</f>
        <v>3</v>
      </c>
      <c r="P1762" s="2060">
        <f>'Part IX A-Scoring Criteria'!P208</f>
        <v>0</v>
      </c>
      <c r="Q1762" s="2061" t="str">
        <f>IF(OR($O1762=$M1762,$O1762=0,$O1762=""),"","*CHECK!*")</f>
        <v/>
      </c>
      <c r="R1762" s="1626" t="s">
        <v>2724</v>
      </c>
    </row>
    <row r="1763" spans="1:26" ht="12.75" customHeight="1">
      <c r="A1763" s="1975"/>
      <c r="B1763" s="2098" t="s">
        <v>2004</v>
      </c>
      <c r="C1763" s="2011" t="s">
        <v>4834</v>
      </c>
      <c r="D1763" s="2011"/>
      <c r="E1763" s="2011"/>
      <c r="F1763" s="2011"/>
      <c r="G1763" s="2011"/>
      <c r="H1763" s="2011"/>
      <c r="I1763" s="2011"/>
      <c r="J1763" s="2011"/>
      <c r="K1763" s="2011"/>
      <c r="L1763" s="1985" t="str">
        <f>IF(OR($O1763=$M1763,$O1763=0,$O1763=""),"","* * Check Score! * *")</f>
        <v/>
      </c>
      <c r="M1763" s="1991">
        <v>2</v>
      </c>
      <c r="N1763" s="2067" t="s">
        <v>2004</v>
      </c>
      <c r="O1763" s="2060">
        <f>'Part IX A-Scoring Criteria'!O209</f>
        <v>2</v>
      </c>
      <c r="P1763" s="2060">
        <f>'Part IX A-Scoring Criteria'!P209</f>
        <v>0</v>
      </c>
      <c r="Q1763" s="2061" t="str">
        <f>IF(OR($O1763=$M1763,$O1763=0,$O1763=""),"","*CHECK!*")</f>
        <v/>
      </c>
      <c r="R1763" s="1626" t="s">
        <v>2724</v>
      </c>
    </row>
    <row r="1764" spans="1:26">
      <c r="A1764" s="1975"/>
      <c r="B1764" s="2010"/>
      <c r="C1764" s="2010" t="s">
        <v>3806</v>
      </c>
      <c r="E1764" s="2010" t="str">
        <f>'Part I-Project Information'!$N$39</f>
        <v>Yes</v>
      </c>
      <c r="G1764" s="2010" t="s">
        <v>3599</v>
      </c>
      <c r="I1764" s="2120" t="str">
        <f>'Part I-Project Information'!$O$38</f>
        <v>105</v>
      </c>
      <c r="J1764" s="2120"/>
      <c r="K1764" s="1872" t="s">
        <v>3396</v>
      </c>
      <c r="M1764" s="1872" t="str">
        <f>'Part IV-A-Uses of Funds'!$H$152</f>
        <v>DDA/QCT</v>
      </c>
    </row>
    <row r="1765" spans="1:26">
      <c r="A1765" s="1975"/>
      <c r="B1765" s="2010"/>
      <c r="D1765" s="1986"/>
      <c r="E1765" s="2010"/>
      <c r="G1765" s="1872"/>
      <c r="K1765" s="1872"/>
      <c r="L1765" s="1872"/>
    </row>
    <row r="1766" spans="1:26">
      <c r="A1766" s="1855" t="s">
        <v>2001</v>
      </c>
      <c r="B1766" s="1844" t="s">
        <v>4055</v>
      </c>
      <c r="D1766" s="1629"/>
      <c r="K1766" s="1860"/>
      <c r="L1766" s="1985" t="str">
        <f>IF(OR($O1766=$M1766,$O1766=0,$O1766=""),"","* * Check Score! * *")</f>
        <v/>
      </c>
      <c r="M1766" s="1828">
        <v>2</v>
      </c>
      <c r="N1766" s="1975" t="s">
        <v>2001</v>
      </c>
      <c r="O1766" s="2021">
        <f>'Part IX A-Scoring Criteria'!O212</f>
        <v>2</v>
      </c>
      <c r="P1766" s="2021">
        <f>'Part IX A-Scoring Criteria'!P212</f>
        <v>0</v>
      </c>
      <c r="Q1766" s="2061" t="str">
        <f>IF(OR($O1766=$M1766,$O1766=0,$O1766=""),"","*CHECK!*")</f>
        <v/>
      </c>
      <c r="R1766" s="1626" t="s">
        <v>2724</v>
      </c>
    </row>
    <row r="1767" spans="1:26" ht="18.75">
      <c r="A1767" s="1855"/>
      <c r="B1767" s="478" t="s">
        <v>2812</v>
      </c>
      <c r="C1767" s="2022"/>
      <c r="D1767" s="478"/>
      <c r="E1767" s="478"/>
      <c r="F1767" s="1837"/>
      <c r="G1767" s="2022"/>
      <c r="H1767" s="1156"/>
      <c r="I1767" s="2022"/>
      <c r="J1767" s="1933" t="str">
        <f>'Part I-Project Information'!$H$100</f>
        <v>Flexible</v>
      </c>
      <c r="K1767" s="1872"/>
      <c r="L1767" s="2022"/>
      <c r="M1767" s="2022"/>
      <c r="N1767" s="2022"/>
      <c r="O1767" s="2022"/>
      <c r="P1767" s="2022"/>
      <c r="Q1767" s="2022"/>
      <c r="R1767" s="2022"/>
      <c r="S1767" s="2022"/>
      <c r="T1767" s="1985" t="str">
        <f>IF(OR($O1766=$M1766,$O1766=0,$O1766=""),"","* * Check Score! * *")</f>
        <v/>
      </c>
      <c r="U1767" s="2022"/>
      <c r="V1767" s="2089"/>
      <c r="W1767" s="2089"/>
      <c r="X1767" s="2022"/>
      <c r="Y1767" s="2022"/>
      <c r="Z1767" s="2022"/>
    </row>
    <row r="1768" spans="1:26" ht="18.75">
      <c r="A1768" s="1984"/>
      <c r="B1768" s="478" t="s">
        <v>3887</v>
      </c>
      <c r="C1768" s="2022"/>
      <c r="D1768" s="2022"/>
      <c r="E1768" s="2022"/>
      <c r="F1768" s="2022"/>
      <c r="G1768" s="2022"/>
      <c r="H1768" s="2022"/>
      <c r="I1768" s="2022"/>
      <c r="J1768" s="1901" t="str">
        <f>'Part IX A-Scoring Criteria'!J214</f>
        <v xml:space="preserve">Macon-Bibb County </v>
      </c>
      <c r="K1768" s="1901">
        <f>'Part IX A-Scoring Criteria'!K214</f>
        <v>0</v>
      </c>
      <c r="L1768" s="1901">
        <f>'Part IX A-Scoring Criteria'!L214</f>
        <v>0</v>
      </c>
      <c r="M1768" s="2022"/>
      <c r="N1768" s="2022"/>
      <c r="O1768" s="2022"/>
      <c r="P1768" s="2022"/>
      <c r="Q1768" s="2022"/>
      <c r="R1768" s="2022"/>
      <c r="S1768" s="2022"/>
      <c r="T1768" s="2022"/>
      <c r="U1768" s="2022"/>
      <c r="V1768" s="2089"/>
      <c r="W1768" s="2089"/>
      <c r="X1768" s="2022"/>
      <c r="Y1768" s="2022"/>
      <c r="Z1768" s="2022"/>
    </row>
    <row r="1769" spans="1:26" ht="18.75">
      <c r="A1769" s="1984"/>
      <c r="B1769" s="2010" t="s">
        <v>3888</v>
      </c>
      <c r="C1769" s="2022"/>
      <c r="D1769" s="2022"/>
      <c r="E1769" s="2022"/>
      <c r="F1769" s="2022"/>
      <c r="G1769" s="2022"/>
      <c r="H1769" s="2022"/>
      <c r="I1769" s="2111" t="str">
        <f>IF($J$215="Government", "Additional documentation required - see QAP.","")</f>
        <v/>
      </c>
      <c r="J1769" s="1999" t="str">
        <f>'Part IX A-Scoring Criteria'!J215</f>
        <v>Government</v>
      </c>
      <c r="K1769" s="1999">
        <f>'Part IX A-Scoring Criteria'!K215</f>
        <v>0</v>
      </c>
      <c r="L1769" s="1999">
        <f>'Part IX A-Scoring Criteria'!L215</f>
        <v>0</v>
      </c>
      <c r="M1769" s="1961" t="s">
        <v>3651</v>
      </c>
      <c r="N1769" s="2022"/>
      <c r="O1769" s="2022"/>
      <c r="P1769" s="2022"/>
      <c r="Q1769" s="2022"/>
      <c r="R1769" s="2022"/>
      <c r="S1769" s="2022"/>
      <c r="T1769" s="2022"/>
      <c r="U1769" s="2022"/>
      <c r="V1769" s="2089"/>
      <c r="W1769" s="2089"/>
      <c r="X1769" s="2022"/>
      <c r="Y1769" s="2022"/>
      <c r="Z1769" s="2022"/>
    </row>
    <row r="1770" spans="1:26" ht="18.75">
      <c r="A1770" s="1915"/>
      <c r="B1770" s="2010" t="s">
        <v>4243</v>
      </c>
      <c r="F1770" s="1953"/>
      <c r="G1770" s="1953"/>
      <c r="H1770" s="1953"/>
      <c r="L1770" s="1969">
        <f>'Part IX A-Scoring Criteria'!L216</f>
        <v>0</v>
      </c>
      <c r="M1770" s="2121" t="str">
        <f>'Part IX A-Scoring Criteria'!M216</f>
        <v>Completed in 2017</v>
      </c>
      <c r="N1770" s="2121">
        <f>'Part IX A-Scoring Criteria'!N216</f>
        <v>0</v>
      </c>
      <c r="O1770" s="2121">
        <f>'Part IX A-Scoring Criteria'!O216</f>
        <v>0</v>
      </c>
      <c r="P1770" s="2121">
        <f>'Part IX A-Scoring Criteria'!P216</f>
        <v>0</v>
      </c>
      <c r="V1770" s="2089"/>
      <c r="W1770" s="2089"/>
    </row>
    <row r="1771" spans="1:26" ht="18.75">
      <c r="A1771" s="1915"/>
      <c r="B1771" s="1961" t="s">
        <v>3817</v>
      </c>
      <c r="G1771" s="1961"/>
      <c r="J1771" s="2122">
        <f>'Part IX A-Scoring Criteria'!J217</f>
        <v>0.5</v>
      </c>
      <c r="K1771" s="2123" t="s">
        <v>3816</v>
      </c>
      <c r="L1771" s="1953"/>
      <c r="N1771" s="1824"/>
      <c r="O1771" s="1826"/>
      <c r="P1771" s="1826"/>
      <c r="V1771" s="2089"/>
      <c r="W1771" s="2089"/>
    </row>
    <row r="1772" spans="1:26" ht="18.75" customHeight="1">
      <c r="A1772" s="2124" t="s">
        <v>4224</v>
      </c>
      <c r="B1772" s="1936" t="s">
        <v>4221</v>
      </c>
      <c r="C1772" s="1936"/>
      <c r="D1772" s="1707" t="str">
        <f>'Part IX A-Scoring Criteria'!D218</f>
        <v>Macon-Bibb County spent 2012 SPLOST (Special Purpose Local Option Sales Tax) funds in the amount of $2,473,129 for capital improvements at the Memorial Park located less than ½ mile from Tindall Fields III.  Of this, $2,301,900 was spent in the last three years with the vast majority of those expenditures occurring in 2016 and 2017. All improvements have now been completed.  Work included: storm drainage improvements, re-roofing and air conditioning the gymnasium, expanding the parking, rebuilding the swimming pool, adding a fitness/room and a brand new computer lab for after school use and tutoring, and so much more.   Please see Tab 32-02 and the sub-tabs that follow. In a nutshell:  in the last three years, $2.3 million in SPLOST funds were spent on recreation improvements upgrading the Bibb County Memorial Park which is located less than ½ mile from Tindall Fields III.</v>
      </c>
      <c r="E1772" s="1707">
        <f>'Part IX A-Scoring Criteria'!E218</f>
        <v>0</v>
      </c>
      <c r="F1772" s="1707">
        <f>'Part IX A-Scoring Criteria'!F218</f>
        <v>0</v>
      </c>
      <c r="G1772" s="1707">
        <f>'Part IX A-Scoring Criteria'!G218</f>
        <v>0</v>
      </c>
      <c r="H1772" s="1707">
        <f>'Part IX A-Scoring Criteria'!H218</f>
        <v>0</v>
      </c>
      <c r="I1772" s="1707">
        <f>'Part IX A-Scoring Criteria'!I218</f>
        <v>0</v>
      </c>
      <c r="J1772" s="1707">
        <f>'Part IX A-Scoring Criteria'!J218</f>
        <v>0</v>
      </c>
      <c r="K1772" s="1707">
        <f>'Part IX A-Scoring Criteria'!K218</f>
        <v>0</v>
      </c>
      <c r="L1772" s="1707">
        <f>'Part IX A-Scoring Criteria'!L218</f>
        <v>0</v>
      </c>
      <c r="M1772" s="1707">
        <f>'Part IX A-Scoring Criteria'!M218</f>
        <v>0</v>
      </c>
      <c r="N1772" s="1707">
        <f>'Part IX A-Scoring Criteria'!N218</f>
        <v>0</v>
      </c>
      <c r="O1772" s="1707">
        <f>'Part IX A-Scoring Criteria'!O218</f>
        <v>0</v>
      </c>
      <c r="P1772" s="1707">
        <f>'Part IX A-Scoring Criteria'!P218</f>
        <v>0</v>
      </c>
      <c r="Q1772" s="2030"/>
      <c r="V1772" s="2089"/>
      <c r="W1772" s="2089"/>
    </row>
    <row r="1773" spans="1:26" ht="18.75" customHeight="1">
      <c r="A1773" s="2124"/>
      <c r="B1773" s="1936" t="s">
        <v>4222</v>
      </c>
      <c r="C1773" s="1936"/>
      <c r="D1773" s="1707" t="str">
        <f>'Part IX A-Scoring Criteria'!D219</f>
        <v xml:space="preserve">Recreation, fitness, swimming, organized sports, outdoor events, social interaction, and a neighborhood’s “special events” are all part of a quality lifestyle; these same activities help determine the quality of a neighborhood’s living environment.  The 2018 Macon Bibb County Urban Redevelopment Plan at Tab 32-01-10 on Pages 7-8 focused on the recreational needs of the Urban Redevelopment Area and the various upgrades needed, planned and made, including the milestones reached at Memorial Park.   Memorial Park is now one of the very best in Macon and offers another excellent reason why low and moderate income families will want to live in Tindall Fields.  If Memorial Park had not been restored, if it had not received the total of $2.4 million investment from Macon-Bibb County, then the ultimate transformation of our Defined Neighborhood could not reach its fullest potential.  Now, Memorial Park encourages healthy living (with a new fitness center), shows kids how education (with the new computer center) can be fun, and will help provide for the recreational needs of the neighborhood for future generations.  </v>
      </c>
      <c r="E1773" s="1707">
        <f>'Part IX A-Scoring Criteria'!E219</f>
        <v>0</v>
      </c>
      <c r="F1773" s="1707">
        <f>'Part IX A-Scoring Criteria'!F219</f>
        <v>0</v>
      </c>
      <c r="G1773" s="1707">
        <f>'Part IX A-Scoring Criteria'!G219</f>
        <v>0</v>
      </c>
      <c r="H1773" s="1707">
        <f>'Part IX A-Scoring Criteria'!H219</f>
        <v>0</v>
      </c>
      <c r="I1773" s="1707">
        <f>'Part IX A-Scoring Criteria'!I219</f>
        <v>0</v>
      </c>
      <c r="J1773" s="1707">
        <f>'Part IX A-Scoring Criteria'!J219</f>
        <v>0</v>
      </c>
      <c r="K1773" s="1707">
        <f>'Part IX A-Scoring Criteria'!K219</f>
        <v>0</v>
      </c>
      <c r="L1773" s="1707">
        <f>'Part IX A-Scoring Criteria'!L219</f>
        <v>0</v>
      </c>
      <c r="M1773" s="1707">
        <f>'Part IX A-Scoring Criteria'!M219</f>
        <v>0</v>
      </c>
      <c r="N1773" s="1707">
        <f>'Part IX A-Scoring Criteria'!N219</f>
        <v>0</v>
      </c>
      <c r="O1773" s="1707">
        <f>'Part IX A-Scoring Criteria'!O219</f>
        <v>0</v>
      </c>
      <c r="P1773" s="1707">
        <f>'Part IX A-Scoring Criteria'!P219</f>
        <v>0</v>
      </c>
      <c r="Q1773" s="2030"/>
      <c r="V1773" s="2089"/>
      <c r="W1773" s="2089"/>
    </row>
    <row r="1774" spans="1:26" ht="18.75" customHeight="1">
      <c r="A1774" s="2124"/>
      <c r="B1774" s="1792" t="s">
        <v>4223</v>
      </c>
      <c r="C1774" s="1792"/>
      <c r="D1774" s="1707" t="str">
        <f>'Part IX A-Scoring Criteria'!D220</f>
        <v>Low income and single-parent families are often limited financially to enjoy or even have time for major sporting events, concerts, movies, or popular recreation venues.  Anyone who has taken their kids to SunTrust Park or Six Flags will attest to this; the cost for outings like these is prohibitive for many people.  However, at less than ½ mile from Tindall Fields, Memorial Park is a place where the Tindall Fields children will be able to relax, play organized sports, swim in the refurbished pool or just hang out in a supervised environment…all for free!  Who knows, but a future American swimmer in the 2032 Olympics may grow up in Tindall Fields…and she might get her first swimming lessons at Memorial Park!  Please see Tab 32-02 and the sub-tabs that follow.</v>
      </c>
      <c r="E1774" s="1707">
        <f>'Part IX A-Scoring Criteria'!E220</f>
        <v>0</v>
      </c>
      <c r="F1774" s="1707">
        <f>'Part IX A-Scoring Criteria'!F220</f>
        <v>0</v>
      </c>
      <c r="G1774" s="1707">
        <f>'Part IX A-Scoring Criteria'!G220</f>
        <v>0</v>
      </c>
      <c r="H1774" s="1707">
        <f>'Part IX A-Scoring Criteria'!H220</f>
        <v>0</v>
      </c>
      <c r="I1774" s="1707">
        <f>'Part IX A-Scoring Criteria'!I220</f>
        <v>0</v>
      </c>
      <c r="J1774" s="1707">
        <f>'Part IX A-Scoring Criteria'!J220</f>
        <v>0</v>
      </c>
      <c r="K1774" s="1707">
        <f>'Part IX A-Scoring Criteria'!K220</f>
        <v>0</v>
      </c>
      <c r="L1774" s="1707">
        <f>'Part IX A-Scoring Criteria'!L220</f>
        <v>0</v>
      </c>
      <c r="M1774" s="1707">
        <f>'Part IX A-Scoring Criteria'!M220</f>
        <v>0</v>
      </c>
      <c r="N1774" s="1707">
        <f>'Part IX A-Scoring Criteria'!N220</f>
        <v>0</v>
      </c>
      <c r="O1774" s="1707">
        <f>'Part IX A-Scoring Criteria'!O220</f>
        <v>0</v>
      </c>
      <c r="P1774" s="1707">
        <f>'Part IX A-Scoring Criteria'!P220</f>
        <v>0</v>
      </c>
      <c r="Q1774" s="2030"/>
      <c r="V1774" s="2089"/>
      <c r="W1774" s="2089"/>
    </row>
    <row r="1775" spans="1:26" ht="18.75">
      <c r="B1775" s="478" t="s">
        <v>3476</v>
      </c>
      <c r="G1775" s="478" t="s">
        <v>2646</v>
      </c>
      <c r="H1775" s="478"/>
      <c r="J1775" s="2125">
        <f>'Part IX A-Scoring Criteria'!J221</f>
        <v>2301900</v>
      </c>
      <c r="K1775" s="2125">
        <f>'Part IX A-Scoring Criteria'!K221</f>
        <v>0</v>
      </c>
      <c r="L1775" s="2126">
        <f>'Part IX A-Scoring Criteria'!L221</f>
        <v>0</v>
      </c>
      <c r="M1775" s="2126">
        <f>'Part IX A-Scoring Criteria'!M221</f>
        <v>0</v>
      </c>
      <c r="N1775" s="1824"/>
      <c r="O1775" s="1826"/>
      <c r="P1775" s="1826"/>
      <c r="V1775" s="2089"/>
      <c r="W1775" s="2089"/>
    </row>
    <row r="1776" spans="1:26" ht="18.75">
      <c r="A1776" s="1629"/>
      <c r="B1776" s="2022"/>
      <c r="C1776" s="478" t="s">
        <v>4549</v>
      </c>
      <c r="D1776" s="1939"/>
      <c r="E1776" s="2022"/>
      <c r="F1776" s="2022"/>
      <c r="G1776" s="2126">
        <f>'Part IV-A-Uses of Funds'!$G$132</f>
        <v>13639318</v>
      </c>
      <c r="H1776" s="2126"/>
      <c r="I1776" s="2022"/>
      <c r="J1776" s="2127">
        <f>'Part IX A-Scoring Criteria'!J222</f>
        <v>0.16876943553922563</v>
      </c>
      <c r="K1776" s="2127">
        <f>'Part IX A-Scoring Criteria'!K222</f>
        <v>0</v>
      </c>
      <c r="L1776" s="2127">
        <f>'Part IX A-Scoring Criteria'!L222</f>
        <v>0</v>
      </c>
      <c r="M1776" s="2127">
        <f>'Part IX A-Scoring Criteria'!M222</f>
        <v>0</v>
      </c>
      <c r="N1776" s="2022"/>
      <c r="O1776" s="2022"/>
      <c r="P1776" s="2022"/>
      <c r="Q1776" s="2022"/>
      <c r="R1776" s="2022"/>
      <c r="S1776" s="2022"/>
      <c r="T1776" s="2022"/>
      <c r="U1776" s="2022"/>
      <c r="V1776" s="2089"/>
      <c r="W1776" s="2089"/>
      <c r="X1776" s="2022"/>
      <c r="Y1776" s="2022"/>
      <c r="Z1776" s="2022"/>
    </row>
    <row r="1777" spans="1:26" ht="15">
      <c r="A1777" s="1629"/>
      <c r="B1777" s="2041" t="s">
        <v>3780</v>
      </c>
      <c r="C1777" s="1629"/>
      <c r="D1777" s="1830"/>
      <c r="E1777" s="1830"/>
      <c r="F1777" s="1830"/>
      <c r="G1777" s="1830"/>
      <c r="H1777" s="478"/>
      <c r="I1777" s="478"/>
      <c r="J1777" s="478"/>
      <c r="K1777" s="478"/>
      <c r="L1777" s="2040"/>
      <c r="M1777" s="1828"/>
      <c r="N1777" s="1828"/>
      <c r="O1777" s="2021"/>
      <c r="P1777" s="1837"/>
      <c r="Q1777" s="2040"/>
      <c r="R1777" s="2040"/>
      <c r="S1777" s="2040"/>
      <c r="T1777" s="2040"/>
      <c r="U1777" s="2040"/>
      <c r="V1777" s="2040"/>
      <c r="W1777" s="2040"/>
      <c r="X1777" s="2040"/>
      <c r="Y1777" s="2040"/>
      <c r="Z1777" s="2040"/>
    </row>
    <row r="1778" spans="1:26" ht="409.5">
      <c r="A1778" s="1936" t="str">
        <f>'Part IX A-Scoring Criteria'!A224</f>
        <v xml:space="preserve">Tindall Fields III qualifies for the maximum points for this scoring section.  We have a fully-compliant, current and active Macon-Bibb Urban Redevelopment Plan (see Tab 32-01-10), our site is in QCT 105 as documented at Tab 32-01-01, and our Off-Site Capital Investment meets all of the DCA requirements at Tab 32-02-01 through 32-02-10. 
Our Macon-Bibb Urban Redevelopment Plan (our local government’s name for the Community Revitalization Plan) has a long history. The City of Macon adopted an Urban Redevelopment Plan in March 2011.  The City of Macon and Bibb County officially consolidated their two governments on January 1, 2014, and the newly-formed consolidated Macon-Bibb Commission thereafter adopted the City’s Plan with minor amendments in May 2014.  In April 2016, the Macon Bibb County Commission updated the Plan to incorporate other areas of the County (Tindall Heights was not affected by this update.) In May 2017, the Macon Bibb County Commission updated the Plan to ensure full compliance with the DCA 2017 QAP requirements and to acknowledge the new Community Transformation Plan that was just getting underway. The current Macon-Bibb Urban Redevelopment Plan (URP) was officially adopted by the Macon-Bibb County Commission on May 1, 2018 to document progress made with the URP activities during the last twelve months. Perhaps the most significant update was the completion of a “Blexting Survey” to help combat the presence of blight in the URP targeted area. Please see Tab 32-01-01 through 32-01-10 that we believe will document to DCA’s satisfaction that we have a complete, active, and ongoing Community Revitalization Plan.   Tab 32 demonstrates to DCA that our URP is much more than a “plan sitting on a shelf” and that numerous improvements are underway in Macon-Bibb as a result of the integrity of the Community Revitalization Plan process.  Reference is made to Mayor Reichert’s letter at Tab 32-01-07 that more specifically certifies to this.
</v>
      </c>
      <c r="B1778" s="1936">
        <f>'Part IX A-Scoring Criteria'!B224</f>
        <v>0</v>
      </c>
      <c r="C1778" s="1936">
        <f>'Part IX A-Scoring Criteria'!C224</f>
        <v>0</v>
      </c>
      <c r="D1778" s="1936">
        <f>'Part IX A-Scoring Criteria'!D224</f>
        <v>0</v>
      </c>
      <c r="E1778" s="1936">
        <f>'Part IX A-Scoring Criteria'!E224</f>
        <v>0</v>
      </c>
      <c r="F1778" s="1936">
        <f>'Part IX A-Scoring Criteria'!F224</f>
        <v>0</v>
      </c>
      <c r="G1778" s="1936">
        <f>'Part IX A-Scoring Criteria'!G224</f>
        <v>0</v>
      </c>
      <c r="H1778" s="1936">
        <f>'Part IX A-Scoring Criteria'!H224</f>
        <v>0</v>
      </c>
      <c r="I1778" s="1936">
        <f>'Part IX A-Scoring Criteria'!I224</f>
        <v>0</v>
      </c>
      <c r="J1778" s="1936">
        <f>'Part IX A-Scoring Criteria'!J224</f>
        <v>0</v>
      </c>
      <c r="K1778" s="1936">
        <f>'Part IX A-Scoring Criteria'!K224</f>
        <v>0</v>
      </c>
      <c r="L1778" s="1936">
        <f>'Part IX A-Scoring Criteria'!L224</f>
        <v>0</v>
      </c>
      <c r="M1778" s="1936">
        <f>'Part IX A-Scoring Criteria'!M224</f>
        <v>0</v>
      </c>
      <c r="N1778" s="1936">
        <f>'Part IX A-Scoring Criteria'!N224</f>
        <v>0</v>
      </c>
      <c r="O1778" s="1936">
        <f>'Part IX A-Scoring Criteria'!O224</f>
        <v>0</v>
      </c>
      <c r="P1778" s="1936">
        <f>'Part IX A-Scoring Criteria'!P224</f>
        <v>0</v>
      </c>
      <c r="Q1778" s="2030"/>
      <c r="R1778" s="2022"/>
      <c r="S1778" s="2022"/>
      <c r="T1778" s="2022"/>
      <c r="U1778" s="2022"/>
      <c r="V1778" s="2022"/>
      <c r="W1778" s="2022"/>
      <c r="X1778" s="2022"/>
      <c r="Y1778" s="2022"/>
      <c r="Z1778" s="2022"/>
    </row>
    <row r="1779" spans="1:26" ht="15">
      <c r="A1779" s="1629"/>
      <c r="B1779" s="1900" t="s">
        <v>1880</v>
      </c>
      <c r="C1779" s="1629"/>
      <c r="D1779" s="1900"/>
      <c r="E1779" s="1866"/>
      <c r="F1779" s="1866"/>
      <c r="G1779" s="1866"/>
      <c r="H1779" s="1866"/>
      <c r="I1779" s="1866"/>
      <c r="J1779" s="1866"/>
      <c r="K1779" s="1866"/>
      <c r="L1779" s="1866"/>
      <c r="M1779" s="1866"/>
      <c r="N1779" s="1963"/>
      <c r="O1779" s="1842"/>
      <c r="P1779" s="1837"/>
      <c r="Q1779" s="2053"/>
      <c r="R1779" s="2040"/>
      <c r="S1779" s="2040"/>
      <c r="T1779" s="2040"/>
      <c r="U1779" s="2040"/>
      <c r="V1779" s="2040"/>
      <c r="W1779" s="2040"/>
      <c r="X1779" s="2040"/>
      <c r="Y1779" s="2040"/>
      <c r="Z1779" s="2040"/>
    </row>
    <row r="1780" spans="1:26" ht="15.75">
      <c r="A1780" s="1936">
        <f>'Part IX A-Scoring Criteria'!A226</f>
        <v>0</v>
      </c>
      <c r="B1780" s="1936">
        <f>'Part IX A-Scoring Criteria'!B226</f>
        <v>0</v>
      </c>
      <c r="C1780" s="1936">
        <f>'Part IX A-Scoring Criteria'!C226</f>
        <v>0</v>
      </c>
      <c r="D1780" s="1936">
        <f>'Part IX A-Scoring Criteria'!D226</f>
        <v>0</v>
      </c>
      <c r="E1780" s="1936">
        <f>'Part IX A-Scoring Criteria'!E226</f>
        <v>0</v>
      </c>
      <c r="F1780" s="1936">
        <f>'Part IX A-Scoring Criteria'!F226</f>
        <v>0</v>
      </c>
      <c r="G1780" s="1936">
        <f>'Part IX A-Scoring Criteria'!G226</f>
        <v>0</v>
      </c>
      <c r="H1780" s="1936">
        <f>'Part IX A-Scoring Criteria'!H226</f>
        <v>0</v>
      </c>
      <c r="I1780" s="1936">
        <f>'Part IX A-Scoring Criteria'!I226</f>
        <v>0</v>
      </c>
      <c r="J1780" s="1936">
        <f>'Part IX A-Scoring Criteria'!J226</f>
        <v>0</v>
      </c>
      <c r="K1780" s="1936">
        <f>'Part IX A-Scoring Criteria'!K226</f>
        <v>0</v>
      </c>
      <c r="L1780" s="1936">
        <f>'Part IX A-Scoring Criteria'!L226</f>
        <v>0</v>
      </c>
      <c r="M1780" s="1936">
        <f>'Part IX A-Scoring Criteria'!M226</f>
        <v>0</v>
      </c>
      <c r="N1780" s="1936">
        <f>'Part IX A-Scoring Criteria'!N226</f>
        <v>0</v>
      </c>
      <c r="O1780" s="1936">
        <f>'Part IX A-Scoring Criteria'!O226</f>
        <v>0</v>
      </c>
      <c r="P1780" s="1936">
        <f>'Part IX A-Scoring Criteria'!P226</f>
        <v>0</v>
      </c>
      <c r="Q1780" s="2030"/>
      <c r="R1780" s="2022"/>
      <c r="S1780" s="2022"/>
      <c r="T1780" s="2022"/>
      <c r="U1780" s="2022"/>
      <c r="V1780" s="2022"/>
      <c r="W1780" s="2022"/>
      <c r="X1780" s="2022"/>
      <c r="Y1780" s="2022"/>
      <c r="Z1780" s="2022"/>
    </row>
    <row r="1781" spans="1:26" ht="15">
      <c r="A1781" s="1629"/>
      <c r="B1781" s="2022"/>
      <c r="C1781" s="1939"/>
      <c r="D1781" s="1939"/>
      <c r="E1781" s="1939"/>
      <c r="F1781" s="1939"/>
      <c r="G1781" s="1939"/>
      <c r="H1781" s="1939"/>
      <c r="I1781" s="1939"/>
      <c r="J1781" s="1939"/>
      <c r="K1781" s="1939"/>
      <c r="L1781" s="1939"/>
      <c r="M1781" s="1939"/>
      <c r="N1781" s="2057"/>
      <c r="O1781" s="2028"/>
      <c r="P1781" s="1837"/>
      <c r="Q1781" s="2022"/>
      <c r="R1781" s="2022"/>
      <c r="S1781" s="2022"/>
      <c r="T1781" s="2022"/>
      <c r="U1781" s="2022"/>
      <c r="V1781" s="2022"/>
      <c r="W1781" s="2022"/>
      <c r="X1781" s="2022"/>
      <c r="Y1781" s="2022"/>
      <c r="Z1781" s="2022"/>
    </row>
    <row r="1782" spans="1:26" ht="15">
      <c r="A1782" s="2023" t="s">
        <v>428</v>
      </c>
      <c r="B1782" s="2024" t="s">
        <v>4056</v>
      </c>
      <c r="C1782" s="1939"/>
      <c r="D1782" s="1939"/>
      <c r="E1782" s="1939"/>
      <c r="F1782" s="1939"/>
      <c r="G1782" s="1939"/>
      <c r="H1782" s="1939"/>
      <c r="I1782" s="1939"/>
      <c r="J1782" s="1939"/>
      <c r="K1782" s="1968" t="s">
        <v>3266</v>
      </c>
      <c r="L1782" s="1968" t="s">
        <v>258</v>
      </c>
      <c r="M1782" s="1837">
        <v>3</v>
      </c>
      <c r="N1782" s="2057"/>
      <c r="O1782" s="2028"/>
      <c r="P1782" s="2021">
        <f>'Part IX A-Scoring Criteria'!P228</f>
        <v>0</v>
      </c>
      <c r="Q1782" s="1837" t="s">
        <v>443</v>
      </c>
      <c r="R1782" s="1626" t="s">
        <v>2724</v>
      </c>
      <c r="S1782" s="2022"/>
      <c r="T1782" s="2022"/>
      <c r="U1782" s="2022"/>
      <c r="V1782" s="2022"/>
      <c r="W1782" s="2022"/>
      <c r="X1782" s="2022"/>
      <c r="Y1782" s="2022"/>
      <c r="Z1782" s="2022"/>
    </row>
    <row r="1783" spans="1:26" ht="15">
      <c r="A1783" s="1855"/>
      <c r="B1783" s="1969" t="s">
        <v>4059</v>
      </c>
      <c r="C1783" s="2022"/>
      <c r="D1783" s="1156" t="s">
        <v>4060</v>
      </c>
      <c r="E1783" s="2022"/>
      <c r="F1783" s="2022"/>
      <c r="G1783" s="2022"/>
      <c r="H1783" s="2022"/>
      <c r="I1783" s="2022"/>
      <c r="J1783" s="2022"/>
      <c r="K1783" s="2119">
        <f>'Part IX A-Scoring Criteria'!K229</f>
        <v>7</v>
      </c>
      <c r="L1783" s="2119">
        <f>'Part IX A-Scoring Criteria'!L229</f>
        <v>0</v>
      </c>
      <c r="M1783" s="2022"/>
      <c r="N1783" s="1977" t="s">
        <v>2451</v>
      </c>
      <c r="O1783" s="1942" t="str">
        <f>'Part IX A-Scoring Criteria'!O229</f>
        <v>Yes</v>
      </c>
      <c r="P1783" s="1942">
        <f>'Part IX A-Scoring Criteria'!P229</f>
        <v>0</v>
      </c>
      <c r="Q1783" s="2022"/>
      <c r="R1783" s="1985"/>
      <c r="S1783" s="2022"/>
      <c r="T1783" s="2022"/>
      <c r="U1783" s="2022"/>
      <c r="V1783" s="2022"/>
      <c r="W1783" s="2022"/>
      <c r="X1783" s="2022"/>
      <c r="Y1783" s="2022"/>
      <c r="Z1783" s="2022"/>
    </row>
    <row r="1784" spans="1:26" ht="18.75">
      <c r="A1784" s="1855"/>
      <c r="B1784" s="2022"/>
      <c r="C1784" s="2022"/>
      <c r="D1784" s="1156" t="s">
        <v>4061</v>
      </c>
      <c r="E1784" s="2022"/>
      <c r="F1784" s="2022"/>
      <c r="G1784" s="2022"/>
      <c r="H1784" s="2022"/>
      <c r="I1784" s="2022"/>
      <c r="J1784" s="2022"/>
      <c r="K1784" s="2119">
        <f>'Part IX A-Scoring Criteria'!K230</f>
        <v>3</v>
      </c>
      <c r="L1784" s="2119">
        <f>'Part IX A-Scoring Criteria'!L230</f>
        <v>0</v>
      </c>
      <c r="M1784" s="2022"/>
      <c r="N1784" s="1977" t="s">
        <v>2452</v>
      </c>
      <c r="O1784" s="1942" t="str">
        <f>'Part IX A-Scoring Criteria'!O230</f>
        <v>Yes</v>
      </c>
      <c r="P1784" s="1942">
        <f>'Part IX A-Scoring Criteria'!P230</f>
        <v>0</v>
      </c>
      <c r="Q1784" s="2022"/>
      <c r="R1784" s="2089"/>
      <c r="S1784" s="2089"/>
      <c r="T1784" s="2022"/>
      <c r="U1784" s="2022"/>
      <c r="V1784" s="2022"/>
      <c r="W1784" s="2022"/>
      <c r="X1784" s="2022"/>
      <c r="Y1784" s="2022"/>
      <c r="Z1784" s="2022"/>
    </row>
    <row r="1785" spans="1:26" ht="18.75">
      <c r="A1785" s="1855"/>
      <c r="B1785" s="2022"/>
      <c r="C1785" s="2022"/>
      <c r="D1785" s="1156" t="s">
        <v>4062</v>
      </c>
      <c r="E1785" s="2022"/>
      <c r="F1785" s="2022"/>
      <c r="G1785" s="2022"/>
      <c r="H1785" s="2022"/>
      <c r="I1785" s="2022"/>
      <c r="J1785" s="2022"/>
      <c r="K1785" s="2022"/>
      <c r="L1785" s="2022"/>
      <c r="M1785" s="2022"/>
      <c r="N1785" s="1977" t="s">
        <v>2453</v>
      </c>
      <c r="O1785" s="1942" t="str">
        <f>'Part IX A-Scoring Criteria'!O231</f>
        <v>Yes</v>
      </c>
      <c r="P1785" s="1942">
        <f>'Part IX A-Scoring Criteria'!P231</f>
        <v>0</v>
      </c>
      <c r="Q1785" s="2022"/>
      <c r="R1785" s="2089"/>
      <c r="S1785" s="2089"/>
      <c r="T1785" s="2022"/>
      <c r="U1785" s="2022"/>
      <c r="V1785" s="2022"/>
      <c r="W1785" s="2022"/>
      <c r="X1785" s="2022"/>
      <c r="Y1785" s="2022"/>
      <c r="Z1785" s="2022"/>
    </row>
    <row r="1786" spans="1:26" ht="18.75">
      <c r="A1786" s="1855"/>
      <c r="B1786" s="2022"/>
      <c r="C1786" s="2022"/>
      <c r="D1786" s="1156" t="s">
        <v>4063</v>
      </c>
      <c r="E1786" s="2022"/>
      <c r="F1786" s="2022"/>
      <c r="G1786" s="2022"/>
      <c r="H1786" s="2022"/>
      <c r="I1786" s="2022"/>
      <c r="J1786" s="2022"/>
      <c r="K1786" s="2022"/>
      <c r="L1786" s="2022"/>
      <c r="M1786" s="2022"/>
      <c r="N1786" s="1977" t="s">
        <v>2454</v>
      </c>
      <c r="O1786" s="1977"/>
      <c r="P1786" s="1942">
        <f>'Part IX A-Scoring Criteria'!P232</f>
        <v>0</v>
      </c>
      <c r="Q1786" s="2022"/>
      <c r="R1786" s="2089"/>
      <c r="S1786" s="2089"/>
      <c r="T1786" s="2022"/>
      <c r="U1786" s="2022"/>
      <c r="V1786" s="2022"/>
      <c r="W1786" s="2022"/>
      <c r="X1786" s="2022"/>
      <c r="Y1786" s="2022"/>
      <c r="Z1786" s="2022"/>
    </row>
    <row r="1787" spans="1:26" ht="18.75">
      <c r="A1787" s="1855"/>
      <c r="B1787" s="2022"/>
      <c r="C1787" s="2022"/>
      <c r="D1787" s="1156" t="s">
        <v>4064</v>
      </c>
      <c r="E1787" s="2022"/>
      <c r="F1787" s="2022"/>
      <c r="G1787" s="2022"/>
      <c r="H1787" s="2022"/>
      <c r="I1787" s="2022"/>
      <c r="J1787" s="2022"/>
      <c r="K1787" s="2022"/>
      <c r="L1787" s="2022"/>
      <c r="M1787" s="2022"/>
      <c r="N1787" s="1977" t="s">
        <v>2455</v>
      </c>
      <c r="O1787" s="1942" t="str">
        <f>'Part IX A-Scoring Criteria'!O233</f>
        <v>No</v>
      </c>
      <c r="P1787" s="1942">
        <f>'Part IX A-Scoring Criteria'!P233</f>
        <v>0</v>
      </c>
      <c r="Q1787" s="2022"/>
      <c r="R1787" s="2089"/>
      <c r="S1787" s="2089"/>
      <c r="T1787" s="2022"/>
      <c r="U1787" s="2022"/>
      <c r="V1787" s="2022"/>
      <c r="W1787" s="2022"/>
      <c r="X1787" s="2022"/>
      <c r="Y1787" s="2022"/>
      <c r="Z1787" s="2022"/>
    </row>
    <row r="1788" spans="1:26" ht="15">
      <c r="A1788" s="1629"/>
      <c r="B1788" s="2022"/>
      <c r="C1788" s="1939"/>
      <c r="D1788" s="1939"/>
      <c r="E1788" s="1939"/>
      <c r="F1788" s="1939"/>
      <c r="G1788" s="1939"/>
      <c r="H1788" s="1939"/>
      <c r="I1788" s="1939"/>
      <c r="J1788" s="1939"/>
      <c r="K1788" s="1939"/>
      <c r="L1788" s="1939"/>
      <c r="M1788" s="1939"/>
      <c r="N1788" s="2057"/>
      <c r="O1788" s="2028"/>
      <c r="P1788" s="1837"/>
      <c r="Q1788" s="2022"/>
      <c r="R1788" s="2022"/>
      <c r="S1788" s="2022"/>
      <c r="T1788" s="2022"/>
      <c r="U1788" s="2022"/>
      <c r="V1788" s="2022"/>
      <c r="W1788" s="2022"/>
      <c r="X1788" s="2022"/>
      <c r="Y1788" s="2022"/>
      <c r="Z1788" s="2022"/>
    </row>
    <row r="1789" spans="1:26">
      <c r="A1789" s="1855" t="s">
        <v>1999</v>
      </c>
      <c r="B1789" s="1844" t="s">
        <v>4835</v>
      </c>
      <c r="D1789" s="1629"/>
      <c r="G1789" s="2010" t="s">
        <v>3812</v>
      </c>
      <c r="Q1789" s="1681"/>
    </row>
    <row r="1790" spans="1:26">
      <c r="A1790" s="1975"/>
      <c r="B1790" s="478" t="s">
        <v>3892</v>
      </c>
      <c r="C1790" s="1629"/>
      <c r="D1790" s="478" t="str">
        <f>'Part IX A-Scoring Criteria'!D236</f>
        <v>In-Fill Housing II, Inc/Macon-Bibb County Housing Authority</v>
      </c>
      <c r="E1790" s="478">
        <f>'Part IX A-Scoring Criteria'!E236</f>
        <v>0</v>
      </c>
      <c r="F1790" s="478">
        <f>'Part IX A-Scoring Criteria'!F236</f>
        <v>0</v>
      </c>
      <c r="G1790" s="478">
        <f>'Part IX A-Scoring Criteria'!G236</f>
        <v>0</v>
      </c>
      <c r="H1790" s="478">
        <f>'Part IX A-Scoring Criteria'!H236</f>
        <v>0</v>
      </c>
      <c r="I1790" s="1872" t="s">
        <v>2722</v>
      </c>
      <c r="J1790" s="478" t="str">
        <f>'Part IX A-Scoring Criteria'!J236</f>
        <v>www.maconhousing.com</v>
      </c>
      <c r="K1790" s="478">
        <f>'Part IX A-Scoring Criteria'!K236</f>
        <v>0</v>
      </c>
      <c r="L1790" s="478">
        <f>'Part IX A-Scoring Criteria'!L236</f>
        <v>0</v>
      </c>
      <c r="M1790" s="478">
        <f>'Part IX A-Scoring Criteria'!M236</f>
        <v>0</v>
      </c>
      <c r="N1790" s="478">
        <f>'Part IX A-Scoring Criteria'!N236</f>
        <v>0</v>
      </c>
      <c r="O1790" s="1629"/>
      <c r="P1790" s="1629"/>
      <c r="Q1790" s="1681"/>
      <c r="R1790" s="1629"/>
      <c r="S1790" s="1629"/>
      <c r="T1790" s="1629"/>
      <c r="U1790" s="1629"/>
      <c r="V1790" s="1629"/>
      <c r="W1790" s="1629"/>
      <c r="X1790" s="1629"/>
      <c r="Y1790" s="1629"/>
      <c r="Z1790" s="1629"/>
    </row>
    <row r="1791" spans="1:26" ht="18.75">
      <c r="A1791" s="1975"/>
      <c r="B1791" s="478" t="s">
        <v>2210</v>
      </c>
      <c r="C1791" s="1629"/>
      <c r="D1791" s="478" t="str">
        <f>'Part IX A-Scoring Criteria'!D237</f>
        <v>Mike Austin</v>
      </c>
      <c r="E1791" s="478">
        <f>'Part IX A-Scoring Criteria'!E237</f>
        <v>0</v>
      </c>
      <c r="F1791" s="478">
        <f>'Part IX A-Scoring Criteria'!F237</f>
        <v>0</v>
      </c>
      <c r="G1791" s="478" t="s">
        <v>1734</v>
      </c>
      <c r="H1791" s="2128" t="str">
        <f>'Part IX A-Scoring Criteria'!H237</f>
        <v>478-752-5070</v>
      </c>
      <c r="I1791" s="1872" t="s">
        <v>1813</v>
      </c>
      <c r="J1791" s="478" t="str">
        <f>'Part IX A-Scoring Criteria'!J237</f>
        <v>maustin@maconhousing.com</v>
      </c>
      <c r="K1791" s="478">
        <f>'Part IX A-Scoring Criteria'!K237</f>
        <v>0</v>
      </c>
      <c r="L1791" s="478">
        <f>'Part IX A-Scoring Criteria'!L237</f>
        <v>0</v>
      </c>
      <c r="M1791" s="478">
        <f>'Part IX A-Scoring Criteria'!M237</f>
        <v>0</v>
      </c>
      <c r="N1791" s="478">
        <f>'Part IX A-Scoring Criteria'!N237</f>
        <v>0</v>
      </c>
      <c r="O1791" s="1629"/>
      <c r="P1791" s="1629"/>
      <c r="Q1791" s="1681"/>
      <c r="R1791" s="1629"/>
      <c r="S1791" s="1629"/>
      <c r="T1791" s="1629"/>
      <c r="U1791" s="1629"/>
      <c r="V1791" s="2089"/>
      <c r="W1791" s="2089"/>
      <c r="X1791" s="1629"/>
      <c r="Y1791" s="1629"/>
      <c r="Z1791" s="1629"/>
    </row>
    <row r="1792" spans="1:26">
      <c r="A1792" s="1975"/>
      <c r="C1792" s="1932"/>
      <c r="D1792" s="1932"/>
      <c r="E1792" s="1932"/>
      <c r="F1792" s="1932"/>
      <c r="G1792" s="1932"/>
      <c r="H1792" s="1932"/>
      <c r="I1792" s="1932"/>
      <c r="J1792" s="1932"/>
      <c r="K1792" s="1932"/>
      <c r="L1792" s="1932"/>
      <c r="Q1792" s="1681"/>
    </row>
    <row r="1793" spans="1:26">
      <c r="A1793" s="1975"/>
      <c r="B1793" s="2098" t="s">
        <v>2002</v>
      </c>
      <c r="C1793" s="1932" t="s">
        <v>4065</v>
      </c>
      <c r="D1793" s="1961"/>
      <c r="E1793" s="1961"/>
      <c r="F1793" s="1961"/>
      <c r="G1793" s="1961"/>
      <c r="H1793" s="1961"/>
      <c r="I1793" s="1961"/>
      <c r="J1793" s="1961"/>
      <c r="K1793" s="1961"/>
      <c r="L1793" s="1961"/>
      <c r="M1793" s="1961"/>
      <c r="N1793" s="1961"/>
      <c r="O1793" s="1934" t="s">
        <v>2527</v>
      </c>
      <c r="P1793" s="1934" t="s">
        <v>2527</v>
      </c>
      <c r="Q1793" s="1961"/>
    </row>
    <row r="1794" spans="1:26" ht="18.75" customHeight="1">
      <c r="A1794" s="1934"/>
      <c r="B1794" s="1996"/>
      <c r="C1794" s="1901" t="s">
        <v>4836</v>
      </c>
      <c r="D1794" s="1901"/>
      <c r="E1794" s="1901"/>
      <c r="F1794" s="1901"/>
      <c r="G1794" s="1901"/>
      <c r="H1794" s="1901"/>
      <c r="I1794" s="1901"/>
      <c r="J1794" s="1901"/>
      <c r="K1794" s="1901"/>
      <c r="L1794" s="1901"/>
      <c r="M1794" s="1629"/>
      <c r="N1794" s="2048" t="s">
        <v>2002</v>
      </c>
      <c r="O1794" s="1988" t="str">
        <f>'Part IX A-Scoring Criteria'!O240</f>
        <v>Yes</v>
      </c>
      <c r="P1794" s="1988">
        <f>'Part IX A-Scoring Criteria'!P240</f>
        <v>0</v>
      </c>
      <c r="Q1794" s="1961"/>
      <c r="S1794" s="1629"/>
      <c r="T1794" s="1629"/>
      <c r="U1794" s="1629"/>
      <c r="V1794" s="2089"/>
      <c r="W1794" s="2089"/>
      <c r="X1794" s="1629"/>
      <c r="Y1794" s="1629"/>
      <c r="Z1794" s="1629"/>
    </row>
    <row r="1795" spans="1:26" ht="18.75" customHeight="1">
      <c r="A1795" s="1975"/>
      <c r="B1795" s="1977" t="s">
        <v>2451</v>
      </c>
      <c r="C1795" s="478" t="s">
        <v>4067</v>
      </c>
      <c r="D1795" s="478" t="str">
        <f>'Part IX A-Scoring Criteria'!D241</f>
        <v>Boys and Girls Club</v>
      </c>
      <c r="E1795" s="478">
        <f>'Part IX A-Scoring Criteria'!E241</f>
        <v>0</v>
      </c>
      <c r="F1795" s="478">
        <f>'Part IX A-Scoring Criteria'!F241</f>
        <v>0</v>
      </c>
      <c r="G1795" s="478">
        <f>'Part IX A-Scoring Criteria'!G241</f>
        <v>0</v>
      </c>
      <c r="H1795" s="478">
        <f>'Part IX A-Scoring Criteria'!H241</f>
        <v>0</v>
      </c>
      <c r="I1795" s="1872" t="s">
        <v>2722</v>
      </c>
      <c r="J1795" s="478" t="str">
        <f>'Part IX A-Scoring Criteria'!J241</f>
        <v>www.bcccg.org</v>
      </c>
      <c r="K1795" s="478">
        <f>'Part IX A-Scoring Criteria'!K241</f>
        <v>0</v>
      </c>
      <c r="L1795" s="478">
        <f>'Part IX A-Scoring Criteria'!L241</f>
        <v>0</v>
      </c>
      <c r="M1795" s="478">
        <f>'Part IX A-Scoring Criteria'!M241</f>
        <v>0</v>
      </c>
      <c r="N1795" s="478">
        <f>'Part IX A-Scoring Criteria'!N241</f>
        <v>0</v>
      </c>
      <c r="O1795" s="1792" t="s">
        <v>4069</v>
      </c>
      <c r="P1795" s="1792"/>
      <c r="Q1795" s="1961"/>
      <c r="S1795" s="1629"/>
      <c r="T1795" s="1629"/>
      <c r="U1795" s="1629"/>
      <c r="V1795" s="2089"/>
      <c r="W1795" s="2089"/>
      <c r="X1795" s="1629"/>
      <c r="Y1795" s="1629"/>
      <c r="Z1795" s="1629"/>
    </row>
    <row r="1796" spans="1:26" ht="18.75">
      <c r="A1796" s="1975"/>
      <c r="B1796" s="1629"/>
      <c r="C1796" s="478" t="s">
        <v>2210</v>
      </c>
      <c r="D1796" s="478" t="str">
        <f>'Part IX A-Scoring Criteria'!D242</f>
        <v>Phillip Bryant</v>
      </c>
      <c r="E1796" s="478">
        <f>'Part IX A-Scoring Criteria'!E242</f>
        <v>0</v>
      </c>
      <c r="F1796" s="478">
        <f>'Part IX A-Scoring Criteria'!F242</f>
        <v>0</v>
      </c>
      <c r="G1796" s="478" t="s">
        <v>1734</v>
      </c>
      <c r="H1796" s="2128" t="str">
        <f>'Part IX A-Scoring Criteria'!H242</f>
        <v>478-621-4303</v>
      </c>
      <c r="I1796" s="1872" t="s">
        <v>1813</v>
      </c>
      <c r="J1796" s="478" t="str">
        <f>'Part IX A-Scoring Criteria'!J242</f>
        <v>pbryant@bgccg.org</v>
      </c>
      <c r="K1796" s="478">
        <f>'Part IX A-Scoring Criteria'!K242</f>
        <v>0</v>
      </c>
      <c r="L1796" s="478">
        <f>'Part IX A-Scoring Criteria'!L242</f>
        <v>0</v>
      </c>
      <c r="M1796" s="478">
        <f>'Part IX A-Scoring Criteria'!M242</f>
        <v>0</v>
      </c>
      <c r="N1796" s="478">
        <f>'Part IX A-Scoring Criteria'!N242</f>
        <v>0</v>
      </c>
      <c r="O1796" s="1942" t="str">
        <f>'Part IX A-Scoring Criteria'!O242</f>
        <v>Yes</v>
      </c>
      <c r="P1796" s="1942">
        <f>'Part IX A-Scoring Criteria'!P242</f>
        <v>0</v>
      </c>
      <c r="Q1796" s="1961"/>
      <c r="S1796" s="1629"/>
      <c r="T1796" s="1629"/>
      <c r="U1796" s="1629"/>
      <c r="V1796" s="2089"/>
      <c r="W1796" s="2089"/>
      <c r="X1796" s="1629"/>
      <c r="Y1796" s="1629"/>
      <c r="Z1796" s="1629"/>
    </row>
    <row r="1797" spans="1:26" ht="18.75" customHeight="1">
      <c r="A1797" s="1975"/>
      <c r="B1797" s="1977" t="s">
        <v>2452</v>
      </c>
      <c r="C1797" s="478" t="s">
        <v>4068</v>
      </c>
      <c r="D1797" s="478" t="str">
        <f>'Part IX A-Scoring Criteria'!D243</f>
        <v>Macon-Bibb County Economic Opportunity Council, Inc.</v>
      </c>
      <c r="E1797" s="478">
        <f>'Part IX A-Scoring Criteria'!E243</f>
        <v>0</v>
      </c>
      <c r="F1797" s="478">
        <f>'Part IX A-Scoring Criteria'!F243</f>
        <v>0</v>
      </c>
      <c r="G1797" s="478">
        <f>'Part IX A-Scoring Criteria'!G243</f>
        <v>0</v>
      </c>
      <c r="H1797" s="478">
        <f>'Part IX A-Scoring Criteria'!H243</f>
        <v>0</v>
      </c>
      <c r="I1797" s="1872" t="s">
        <v>2722</v>
      </c>
      <c r="J1797" s="478" t="str">
        <f>'Part IX A-Scoring Criteria'!J243</f>
        <v>www.maconbibbeoc.com</v>
      </c>
      <c r="K1797" s="478">
        <f>'Part IX A-Scoring Criteria'!K243</f>
        <v>0</v>
      </c>
      <c r="L1797" s="478">
        <f>'Part IX A-Scoring Criteria'!L243</f>
        <v>0</v>
      </c>
      <c r="M1797" s="478">
        <f>'Part IX A-Scoring Criteria'!M243</f>
        <v>0</v>
      </c>
      <c r="N1797" s="478">
        <f>'Part IX A-Scoring Criteria'!N243</f>
        <v>0</v>
      </c>
      <c r="O1797" s="1792" t="s">
        <v>4069</v>
      </c>
      <c r="P1797" s="1792"/>
      <c r="Q1797" s="1961"/>
      <c r="S1797" s="1629"/>
      <c r="T1797" s="1629"/>
      <c r="U1797" s="1629"/>
      <c r="V1797" s="2089"/>
      <c r="W1797" s="2089"/>
      <c r="X1797" s="1629"/>
      <c r="Y1797" s="1629"/>
      <c r="Z1797" s="1629"/>
    </row>
    <row r="1798" spans="1:26" ht="18.75">
      <c r="A1798" s="1975"/>
      <c r="B1798" s="1629"/>
      <c r="C1798" s="478" t="s">
        <v>2210</v>
      </c>
      <c r="D1798" s="478" t="str">
        <f>'Part IX A-Scoring Criteria'!D244</f>
        <v>Sarita Hill</v>
      </c>
      <c r="E1798" s="478">
        <f>'Part IX A-Scoring Criteria'!E244</f>
        <v>0</v>
      </c>
      <c r="F1798" s="478">
        <f>'Part IX A-Scoring Criteria'!F244</f>
        <v>0</v>
      </c>
      <c r="G1798" s="478" t="s">
        <v>1734</v>
      </c>
      <c r="H1798" s="2128" t="str">
        <f>'Part IX A-Scoring Criteria'!H244</f>
        <v>478-738-3240</v>
      </c>
      <c r="I1798" s="1872" t="s">
        <v>1813</v>
      </c>
      <c r="J1798" s="478" t="str">
        <f>'Part IX A-Scoring Criteria'!J244</f>
        <v>shill@maconbibbeoc.com</v>
      </c>
      <c r="K1798" s="478">
        <f>'Part IX A-Scoring Criteria'!K244</f>
        <v>0</v>
      </c>
      <c r="L1798" s="478">
        <f>'Part IX A-Scoring Criteria'!L244</f>
        <v>0</v>
      </c>
      <c r="M1798" s="478">
        <f>'Part IX A-Scoring Criteria'!M244</f>
        <v>0</v>
      </c>
      <c r="N1798" s="478">
        <f>'Part IX A-Scoring Criteria'!N244</f>
        <v>0</v>
      </c>
      <c r="O1798" s="1942" t="str">
        <f>'Part IX A-Scoring Criteria'!O244</f>
        <v>Yes</v>
      </c>
      <c r="P1798" s="1942">
        <f>'Part IX A-Scoring Criteria'!P244</f>
        <v>0</v>
      </c>
      <c r="Q1798" s="1961"/>
      <c r="S1798" s="1629"/>
      <c r="T1798" s="1629"/>
      <c r="U1798" s="1629"/>
      <c r="V1798" s="2089"/>
      <c r="W1798" s="2089"/>
      <c r="X1798" s="1629"/>
      <c r="Y1798" s="1629"/>
      <c r="Z1798" s="1629"/>
    </row>
    <row r="1799" spans="1:26">
      <c r="A1799" s="1975"/>
      <c r="B1799" s="2098" t="s">
        <v>2004</v>
      </c>
      <c r="C1799" s="1932" t="s">
        <v>4070</v>
      </c>
      <c r="D1799" s="1961"/>
      <c r="E1799" s="1961"/>
      <c r="F1799" s="1961"/>
      <c r="G1799" s="2010" t="s">
        <v>3812</v>
      </c>
      <c r="H1799" s="1961"/>
      <c r="I1799" s="1961"/>
      <c r="J1799" s="1961"/>
      <c r="K1799" s="1961"/>
      <c r="L1799" s="1961"/>
      <c r="M1799" s="1961"/>
      <c r="N1799" s="1961"/>
      <c r="O1799" s="1934" t="s">
        <v>2527</v>
      </c>
      <c r="P1799" s="1934" t="s">
        <v>2527</v>
      </c>
      <c r="Q1799" s="1961"/>
    </row>
    <row r="1800" spans="1:26" ht="18.75" customHeight="1">
      <c r="A1800" s="1975"/>
      <c r="B1800" s="2129"/>
      <c r="C1800" s="1936" t="s">
        <v>4837</v>
      </c>
      <c r="D1800" s="1936"/>
      <c r="E1800" s="1936"/>
      <c r="F1800" s="1936"/>
      <c r="G1800" s="1936"/>
      <c r="H1800" s="1936"/>
      <c r="I1800" s="1936"/>
      <c r="J1800" s="1936"/>
      <c r="K1800" s="1936"/>
      <c r="L1800" s="1936"/>
      <c r="M1800" s="1936"/>
      <c r="N1800" s="2048" t="s">
        <v>2004</v>
      </c>
      <c r="O1800" s="1988" t="str">
        <f>'Part IX A-Scoring Criteria'!O246</f>
        <v>Yes</v>
      </c>
      <c r="P1800" s="1988">
        <f>'Part IX A-Scoring Criteria'!P246</f>
        <v>0</v>
      </c>
      <c r="Q1800" s="1990"/>
      <c r="V1800" s="2089"/>
      <c r="W1800" s="2089"/>
    </row>
    <row r="1801" spans="1:26" ht="18.75">
      <c r="A1801" s="1975"/>
      <c r="B1801" s="1977" t="s">
        <v>2451</v>
      </c>
      <c r="C1801" s="1996" t="s">
        <v>4186</v>
      </c>
      <c r="D1801" s="1939"/>
      <c r="E1801" s="1939"/>
      <c r="F1801" s="1939"/>
      <c r="G1801" s="1939"/>
      <c r="H1801" s="1939"/>
      <c r="I1801" s="1939"/>
      <c r="J1801" s="1939"/>
      <c r="K1801" s="1939"/>
      <c r="L1801" s="1939"/>
      <c r="M1801" s="1939"/>
      <c r="N1801" s="1939"/>
      <c r="O1801" s="1939"/>
      <c r="P1801" s="1939"/>
      <c r="Q1801" s="1990"/>
      <c r="V1801" s="2089"/>
      <c r="W1801" s="2089"/>
    </row>
    <row r="1802" spans="1:26" ht="409.5">
      <c r="A1802" s="1975"/>
      <c r="B1802" s="1629"/>
      <c r="C1802" s="1936" t="str">
        <f>'Part IX A-Scoring Criteria'!C248</f>
        <v xml:space="preserve">We have made substantial philanthropic contributions to the many entities providing services at the MHA-owned and MHA-operated Buck Melton Center.  As a result of the ongoing in-kind donations from the CBD through deeply-subsidized, below-market rents and our waiver of operational expenses (including all utilities, property management, maintenance costs and custodial service) since that time, these local nonprofit agencies have been able to use their scarce resources traditionally allocated for rent and administrative overhead toward providing meaningful onsite services to the residents of the Tindall Fields neighborhood instead.
The two organizations listed here are but two of the many local agencies, housed in the Buck Melton Center, doing great things for the Defined Neighborhood. </v>
      </c>
      <c r="D1802" s="1936">
        <f>'Part IX A-Scoring Criteria'!D248</f>
        <v>0</v>
      </c>
      <c r="E1802" s="1936">
        <f>'Part IX A-Scoring Criteria'!E248</f>
        <v>0</v>
      </c>
      <c r="F1802" s="1936">
        <f>'Part IX A-Scoring Criteria'!F248</f>
        <v>0</v>
      </c>
      <c r="G1802" s="1936">
        <f>'Part IX A-Scoring Criteria'!G248</f>
        <v>0</v>
      </c>
      <c r="H1802" s="1936">
        <f>'Part IX A-Scoring Criteria'!H248</f>
        <v>0</v>
      </c>
      <c r="I1802" s="1936">
        <f>'Part IX A-Scoring Criteria'!I248</f>
        <v>0</v>
      </c>
      <c r="J1802" s="1936">
        <f>'Part IX A-Scoring Criteria'!J248</f>
        <v>0</v>
      </c>
      <c r="K1802" s="1936">
        <f>'Part IX A-Scoring Criteria'!K248</f>
        <v>0</v>
      </c>
      <c r="L1802" s="1936">
        <f>'Part IX A-Scoring Criteria'!L248</f>
        <v>0</v>
      </c>
      <c r="M1802" s="1936">
        <f>'Part IX A-Scoring Criteria'!M248</f>
        <v>0</v>
      </c>
      <c r="N1802" s="1936">
        <f>'Part IX A-Scoring Criteria'!N248</f>
        <v>0</v>
      </c>
      <c r="O1802" s="1936">
        <f>'Part IX A-Scoring Criteria'!O248</f>
        <v>0</v>
      </c>
      <c r="P1802" s="1936">
        <f>'Part IX A-Scoring Criteria'!P248</f>
        <v>0</v>
      </c>
      <c r="Q1802" s="2030"/>
      <c r="V1802" s="2089"/>
      <c r="W1802" s="2089"/>
    </row>
    <row r="1803" spans="1:26" ht="18.75">
      <c r="A1803" s="1975"/>
      <c r="B1803" s="2129"/>
      <c r="C1803" s="1936">
        <f>'Part IX A-Scoring Criteria'!C249</f>
        <v>0</v>
      </c>
      <c r="D1803" s="1936">
        <f>'Part IX A-Scoring Criteria'!D249</f>
        <v>0</v>
      </c>
      <c r="E1803" s="1936">
        <f>'Part IX A-Scoring Criteria'!E249</f>
        <v>0</v>
      </c>
      <c r="F1803" s="1936">
        <f>'Part IX A-Scoring Criteria'!F249</f>
        <v>0</v>
      </c>
      <c r="G1803" s="1936">
        <f>'Part IX A-Scoring Criteria'!G249</f>
        <v>0</v>
      </c>
      <c r="H1803" s="1936">
        <f>'Part IX A-Scoring Criteria'!H249</f>
        <v>0</v>
      </c>
      <c r="I1803" s="1936">
        <f>'Part IX A-Scoring Criteria'!I249</f>
        <v>0</v>
      </c>
      <c r="J1803" s="1936">
        <f>'Part IX A-Scoring Criteria'!J249</f>
        <v>0</v>
      </c>
      <c r="K1803" s="1936">
        <f>'Part IX A-Scoring Criteria'!K249</f>
        <v>0</v>
      </c>
      <c r="L1803" s="1936">
        <f>'Part IX A-Scoring Criteria'!L249</f>
        <v>0</v>
      </c>
      <c r="M1803" s="1936">
        <f>'Part IX A-Scoring Criteria'!M249</f>
        <v>0</v>
      </c>
      <c r="N1803" s="1936">
        <f>'Part IX A-Scoring Criteria'!N249</f>
        <v>0</v>
      </c>
      <c r="O1803" s="1936">
        <f>'Part IX A-Scoring Criteria'!O249</f>
        <v>0</v>
      </c>
      <c r="P1803" s="1936">
        <f>'Part IX A-Scoring Criteria'!P249</f>
        <v>0</v>
      </c>
      <c r="Q1803" s="1990"/>
      <c r="V1803" s="2089"/>
      <c r="W1803" s="2089"/>
    </row>
    <row r="1804" spans="1:26" ht="18.75">
      <c r="A1804" s="1975"/>
      <c r="B1804" s="2129"/>
      <c r="C1804" s="1936">
        <f>'Part IX A-Scoring Criteria'!C250</f>
        <v>0</v>
      </c>
      <c r="D1804" s="1936">
        <f>'Part IX A-Scoring Criteria'!D250</f>
        <v>0</v>
      </c>
      <c r="E1804" s="1936">
        <f>'Part IX A-Scoring Criteria'!E250</f>
        <v>0</v>
      </c>
      <c r="F1804" s="1936">
        <f>'Part IX A-Scoring Criteria'!F250</f>
        <v>0</v>
      </c>
      <c r="G1804" s="1936">
        <f>'Part IX A-Scoring Criteria'!G250</f>
        <v>0</v>
      </c>
      <c r="H1804" s="1936">
        <f>'Part IX A-Scoring Criteria'!H250</f>
        <v>0</v>
      </c>
      <c r="I1804" s="1936">
        <f>'Part IX A-Scoring Criteria'!I250</f>
        <v>0</v>
      </c>
      <c r="J1804" s="1936">
        <f>'Part IX A-Scoring Criteria'!J250</f>
        <v>0</v>
      </c>
      <c r="K1804" s="1936">
        <f>'Part IX A-Scoring Criteria'!K250</f>
        <v>0</v>
      </c>
      <c r="L1804" s="1936">
        <f>'Part IX A-Scoring Criteria'!L250</f>
        <v>0</v>
      </c>
      <c r="M1804" s="1936">
        <f>'Part IX A-Scoring Criteria'!M250</f>
        <v>0</v>
      </c>
      <c r="N1804" s="1936">
        <f>'Part IX A-Scoring Criteria'!N250</f>
        <v>0</v>
      </c>
      <c r="O1804" s="1936">
        <f>'Part IX A-Scoring Criteria'!O250</f>
        <v>0</v>
      </c>
      <c r="P1804" s="1936">
        <f>'Part IX A-Scoring Criteria'!P250</f>
        <v>0</v>
      </c>
      <c r="Q1804" s="1990"/>
      <c r="V1804" s="2089"/>
      <c r="W1804" s="2089"/>
    </row>
    <row r="1805" spans="1:26" ht="18.75" customHeight="1">
      <c r="A1805" s="1975"/>
      <c r="B1805" s="1977" t="s">
        <v>2452</v>
      </c>
      <c r="C1805" s="1996" t="s">
        <v>4184</v>
      </c>
      <c r="D1805" s="1939"/>
      <c r="E1805" s="1939"/>
      <c r="F1805" s="1939"/>
      <c r="G1805" s="1939"/>
      <c r="H1805" s="1939"/>
      <c r="I1805" s="1939"/>
      <c r="J1805" s="1939"/>
      <c r="K1805" s="1939"/>
      <c r="L1805" s="1936" t="s">
        <v>4188</v>
      </c>
      <c r="M1805" s="1936"/>
      <c r="N1805" s="1961" t="s">
        <v>4189</v>
      </c>
      <c r="O1805" s="1961"/>
      <c r="P1805" s="1961"/>
      <c r="Q1805" s="1990"/>
      <c r="V1805" s="2089"/>
      <c r="W1805" s="2089"/>
    </row>
    <row r="1806" spans="1:26" ht="18.75">
      <c r="A1806" s="1975"/>
      <c r="B1806" s="2129"/>
      <c r="C1806" s="1936" t="str">
        <f>'Part IX A-Scoring Criteria'!C252</f>
        <v>N/A</v>
      </c>
      <c r="D1806" s="1936">
        <f>'Part IX A-Scoring Criteria'!D252</f>
        <v>0</v>
      </c>
      <c r="E1806" s="1936">
        <f>'Part IX A-Scoring Criteria'!E252</f>
        <v>0</v>
      </c>
      <c r="F1806" s="1936">
        <f>'Part IX A-Scoring Criteria'!F252</f>
        <v>0</v>
      </c>
      <c r="G1806" s="1936">
        <f>'Part IX A-Scoring Criteria'!G252</f>
        <v>0</v>
      </c>
      <c r="H1806" s="1936">
        <f>'Part IX A-Scoring Criteria'!H252</f>
        <v>0</v>
      </c>
      <c r="I1806" s="1936">
        <f>'Part IX A-Scoring Criteria'!I252</f>
        <v>0</v>
      </c>
      <c r="J1806" s="1936">
        <f>'Part IX A-Scoring Criteria'!J252</f>
        <v>0</v>
      </c>
      <c r="K1806" s="1936">
        <f>'Part IX A-Scoring Criteria'!K252</f>
        <v>0</v>
      </c>
      <c r="L1806" s="1936">
        <f>'Part IX A-Scoring Criteria'!L252</f>
        <v>0</v>
      </c>
      <c r="M1806" s="1936">
        <f>'Part IX A-Scoring Criteria'!M252</f>
        <v>0</v>
      </c>
      <c r="N1806" s="1936">
        <f>'Part IX A-Scoring Criteria'!N252</f>
        <v>0</v>
      </c>
      <c r="O1806" s="1936">
        <f>'Part IX A-Scoring Criteria'!O252</f>
        <v>0</v>
      </c>
      <c r="P1806" s="1936">
        <f>'Part IX A-Scoring Criteria'!P252</f>
        <v>0</v>
      </c>
      <c r="Q1806" s="2030"/>
      <c r="V1806" s="2089"/>
      <c r="W1806" s="2089"/>
    </row>
    <row r="1807" spans="1:26" ht="18.75">
      <c r="A1807" s="1975"/>
      <c r="B1807" s="2129"/>
      <c r="C1807" s="1936">
        <f>'Part IX A-Scoring Criteria'!C253</f>
        <v>0</v>
      </c>
      <c r="D1807" s="1936">
        <f>'Part IX A-Scoring Criteria'!D253</f>
        <v>0</v>
      </c>
      <c r="E1807" s="1936">
        <f>'Part IX A-Scoring Criteria'!E253</f>
        <v>0</v>
      </c>
      <c r="F1807" s="1936">
        <f>'Part IX A-Scoring Criteria'!F253</f>
        <v>0</v>
      </c>
      <c r="G1807" s="1936">
        <f>'Part IX A-Scoring Criteria'!G253</f>
        <v>0</v>
      </c>
      <c r="H1807" s="1936">
        <f>'Part IX A-Scoring Criteria'!H253</f>
        <v>0</v>
      </c>
      <c r="I1807" s="1936">
        <f>'Part IX A-Scoring Criteria'!I253</f>
        <v>0</v>
      </c>
      <c r="J1807" s="1936">
        <f>'Part IX A-Scoring Criteria'!J253</f>
        <v>0</v>
      </c>
      <c r="K1807" s="1936">
        <f>'Part IX A-Scoring Criteria'!K253</f>
        <v>0</v>
      </c>
      <c r="L1807" s="1936">
        <f>'Part IX A-Scoring Criteria'!L253</f>
        <v>0</v>
      </c>
      <c r="M1807" s="1936">
        <f>'Part IX A-Scoring Criteria'!M253</f>
        <v>0</v>
      </c>
      <c r="N1807" s="1936">
        <f>'Part IX A-Scoring Criteria'!N253</f>
        <v>0</v>
      </c>
      <c r="O1807" s="1936">
        <f>'Part IX A-Scoring Criteria'!O253</f>
        <v>0</v>
      </c>
      <c r="P1807" s="1936">
        <f>'Part IX A-Scoring Criteria'!P253</f>
        <v>0</v>
      </c>
      <c r="Q1807" s="1990"/>
      <c r="V1807" s="2089"/>
      <c r="W1807" s="2089"/>
    </row>
    <row r="1808" spans="1:26" ht="18.75">
      <c r="A1808" s="1975"/>
      <c r="B1808" s="2129"/>
      <c r="C1808" s="1936">
        <f>'Part IX A-Scoring Criteria'!C254</f>
        <v>0</v>
      </c>
      <c r="D1808" s="1936">
        <f>'Part IX A-Scoring Criteria'!D254</f>
        <v>0</v>
      </c>
      <c r="E1808" s="1936">
        <f>'Part IX A-Scoring Criteria'!E254</f>
        <v>0</v>
      </c>
      <c r="F1808" s="1936">
        <f>'Part IX A-Scoring Criteria'!F254</f>
        <v>0</v>
      </c>
      <c r="G1808" s="1936">
        <f>'Part IX A-Scoring Criteria'!G254</f>
        <v>0</v>
      </c>
      <c r="H1808" s="1936">
        <f>'Part IX A-Scoring Criteria'!H254</f>
        <v>0</v>
      </c>
      <c r="I1808" s="1936">
        <f>'Part IX A-Scoring Criteria'!I254</f>
        <v>0</v>
      </c>
      <c r="J1808" s="1936">
        <f>'Part IX A-Scoring Criteria'!J254</f>
        <v>0</v>
      </c>
      <c r="K1808" s="1936">
        <f>'Part IX A-Scoring Criteria'!K254</f>
        <v>0</v>
      </c>
      <c r="L1808" s="1936">
        <f>'Part IX A-Scoring Criteria'!L254</f>
        <v>0</v>
      </c>
      <c r="M1808" s="1936">
        <f>'Part IX A-Scoring Criteria'!M254</f>
        <v>0</v>
      </c>
      <c r="N1808" s="1936">
        <f>'Part IX A-Scoring Criteria'!N254</f>
        <v>0</v>
      </c>
      <c r="O1808" s="1936">
        <f>'Part IX A-Scoring Criteria'!O254</f>
        <v>0</v>
      </c>
      <c r="P1808" s="1936">
        <f>'Part IX A-Scoring Criteria'!P254</f>
        <v>0</v>
      </c>
      <c r="Q1808" s="1990"/>
      <c r="V1808" s="2089"/>
      <c r="W1808" s="2089"/>
    </row>
    <row r="1809" spans="1:26">
      <c r="A1809" s="1975"/>
      <c r="B1809" s="2098" t="s">
        <v>2551</v>
      </c>
      <c r="C1809" s="1932" t="s">
        <v>4071</v>
      </c>
      <c r="D1809" s="1961"/>
      <c r="E1809" s="1961"/>
      <c r="F1809" s="1961"/>
      <c r="G1809" s="1961"/>
      <c r="H1809" s="1961"/>
      <c r="I1809" s="1961"/>
      <c r="J1809" s="1961"/>
      <c r="K1809" s="1961"/>
      <c r="L1809" s="1961"/>
      <c r="M1809" s="1961"/>
      <c r="N1809" s="1961"/>
      <c r="O1809" s="1934"/>
      <c r="P1809" s="1934"/>
      <c r="Q1809" s="1961"/>
    </row>
    <row r="1810" spans="1:26" ht="18.75" customHeight="1">
      <c r="A1810" s="1975"/>
      <c r="B1810" s="2130"/>
      <c r="C1810" s="1901" t="s">
        <v>4075</v>
      </c>
      <c r="D1810" s="1901"/>
      <c r="E1810" s="1901"/>
      <c r="F1810" s="1901"/>
      <c r="G1810" s="1901"/>
      <c r="H1810" s="1901"/>
      <c r="I1810" s="1901"/>
      <c r="J1810" s="1901"/>
      <c r="K1810" s="1901"/>
      <c r="L1810" s="1901"/>
      <c r="M1810" s="1901"/>
      <c r="N1810" s="2048" t="s">
        <v>2551</v>
      </c>
      <c r="O1810" s="1942" t="str">
        <f>'Part IX A-Scoring Criteria'!O256</f>
        <v>N/a</v>
      </c>
      <c r="P1810" s="1942">
        <f>'Part IX A-Scoring Criteria'!P256</f>
        <v>0</v>
      </c>
      <c r="Q1810" s="1990"/>
      <c r="R1810" s="1629"/>
      <c r="S1810" s="1629"/>
      <c r="T1810" s="1629"/>
      <c r="U1810" s="1629"/>
      <c r="V1810" s="2089"/>
      <c r="W1810" s="2089"/>
      <c r="X1810" s="1629"/>
      <c r="Y1810" s="1629"/>
      <c r="Z1810" s="1629"/>
    </row>
    <row r="1811" spans="1:26">
      <c r="A1811" s="1855"/>
      <c r="B1811" s="2093" t="s">
        <v>1236</v>
      </c>
      <c r="C1811" s="1933" t="s">
        <v>3815</v>
      </c>
      <c r="D1811" s="1629"/>
      <c r="Q1811" s="1828"/>
    </row>
    <row r="1812" spans="1:26" ht="18.75" customHeight="1">
      <c r="A1812" s="1975"/>
      <c r="B1812" s="2130"/>
      <c r="C1812" s="1936" t="s">
        <v>4077</v>
      </c>
      <c r="D1812" s="1936"/>
      <c r="E1812" s="1936"/>
      <c r="F1812" s="1936"/>
      <c r="G1812" s="1936"/>
      <c r="H1812" s="1936"/>
      <c r="I1812" s="1936"/>
      <c r="J1812" s="1936"/>
      <c r="K1812" s="1936"/>
      <c r="L1812" s="1936"/>
      <c r="M1812" s="1936"/>
      <c r="N1812" s="2048" t="s">
        <v>1236</v>
      </c>
      <c r="O1812" s="1988" t="str">
        <f>'Part IX A-Scoring Criteria'!O258</f>
        <v>Yes</v>
      </c>
      <c r="P1812" s="1988">
        <f>'Part IX A-Scoring Criteria'!P258</f>
        <v>0</v>
      </c>
      <c r="Q1812" s="1990"/>
      <c r="R1812" s="1629"/>
      <c r="S1812" s="1629"/>
      <c r="T1812" s="1629"/>
      <c r="U1812" s="1629"/>
      <c r="V1812" s="2089"/>
      <c r="W1812" s="2089"/>
      <c r="X1812" s="1629"/>
      <c r="Y1812" s="1629"/>
      <c r="Z1812" s="1629"/>
    </row>
    <row r="1813" spans="1:26" ht="18.75" customHeight="1">
      <c r="A1813" s="1975"/>
      <c r="B1813" s="1977" t="s">
        <v>2451</v>
      </c>
      <c r="C1813" s="1901" t="s">
        <v>4078</v>
      </c>
      <c r="D1813" s="1901"/>
      <c r="E1813" s="1901"/>
      <c r="F1813" s="1901"/>
      <c r="G1813" s="1901"/>
      <c r="H1813" s="1901"/>
      <c r="I1813" s="1901"/>
      <c r="J1813" s="1901"/>
      <c r="K1813" s="1901"/>
      <c r="L1813" s="1901"/>
      <c r="M1813" s="1901"/>
      <c r="N1813" s="1977" t="s">
        <v>2451</v>
      </c>
      <c r="O1813" s="1942" t="str">
        <f>'Part IX A-Scoring Criteria'!O259</f>
        <v>Yes</v>
      </c>
      <c r="P1813" s="1942">
        <f>'Part IX A-Scoring Criteria'!P259</f>
        <v>0</v>
      </c>
      <c r="Q1813" s="1990"/>
      <c r="R1813" s="1629"/>
      <c r="S1813" s="1629"/>
      <c r="T1813" s="1629"/>
      <c r="U1813" s="1629"/>
      <c r="V1813" s="2089"/>
      <c r="W1813" s="2089"/>
      <c r="X1813" s="1629"/>
      <c r="Y1813" s="1629"/>
      <c r="Z1813" s="1629"/>
    </row>
    <row r="1814" spans="1:26" ht="18.75" customHeight="1">
      <c r="A1814" s="1975"/>
      <c r="B1814" s="1977" t="s">
        <v>2452</v>
      </c>
      <c r="C1814" s="1901" t="s">
        <v>4079</v>
      </c>
      <c r="D1814" s="1901"/>
      <c r="E1814" s="1901"/>
      <c r="F1814" s="1901"/>
      <c r="G1814" s="1901"/>
      <c r="H1814" s="1901"/>
      <c r="I1814" s="1901"/>
      <c r="J1814" s="1901"/>
      <c r="K1814" s="1901"/>
      <c r="L1814" s="1901"/>
      <c r="M1814" s="1901"/>
      <c r="N1814" s="1977" t="s">
        <v>2452</v>
      </c>
      <c r="O1814" s="1942" t="str">
        <f>'Part IX A-Scoring Criteria'!O260</f>
        <v>Yes</v>
      </c>
      <c r="P1814" s="1942">
        <f>'Part IX A-Scoring Criteria'!P260</f>
        <v>0</v>
      </c>
      <c r="Q1814" s="1990"/>
      <c r="R1814" s="1629"/>
      <c r="S1814" s="1629"/>
      <c r="T1814" s="1629"/>
      <c r="U1814" s="1629"/>
      <c r="V1814" s="2089"/>
      <c r="W1814" s="2089"/>
      <c r="X1814" s="1629"/>
      <c r="Y1814" s="1629"/>
      <c r="Z1814" s="1629"/>
    </row>
    <row r="1815" spans="1:26" ht="18.75">
      <c r="B1815" s="1977"/>
      <c r="C1815" s="1156"/>
      <c r="G1815" s="2010"/>
      <c r="L1815" s="2131"/>
      <c r="M1815" s="2131"/>
      <c r="Q1815" s="1990"/>
      <c r="V1815" s="2089"/>
      <c r="W1815" s="2089"/>
    </row>
    <row r="1816" spans="1:26">
      <c r="A1816" s="1855" t="s">
        <v>2001</v>
      </c>
      <c r="B1816" s="1844" t="s">
        <v>4838</v>
      </c>
      <c r="D1816" s="1629"/>
      <c r="G1816" s="2010" t="s">
        <v>3812</v>
      </c>
      <c r="O1816" s="1934" t="s">
        <v>2527</v>
      </c>
      <c r="P1816" s="1934" t="s">
        <v>2527</v>
      </c>
      <c r="Q1816" s="1681"/>
    </row>
    <row r="1817" spans="1:26" ht="18.75" customHeight="1">
      <c r="A1817" s="1975"/>
      <c r="B1817" s="2098" t="s">
        <v>2002</v>
      </c>
      <c r="C1817" s="1936" t="s">
        <v>4073</v>
      </c>
      <c r="D1817" s="1936"/>
      <c r="E1817" s="1936"/>
      <c r="F1817" s="1936"/>
      <c r="G1817" s="1936"/>
      <c r="H1817" s="1936"/>
      <c r="I1817" s="1936"/>
      <c r="J1817" s="1936"/>
      <c r="K1817" s="1936"/>
      <c r="L1817" s="1936"/>
      <c r="M1817" s="2132" t="s">
        <v>2001</v>
      </c>
      <c r="N1817" s="2048" t="s">
        <v>2002</v>
      </c>
      <c r="O1817" s="1988" t="str">
        <f>'Part IX A-Scoring Criteria'!O263</f>
        <v>Yes</v>
      </c>
      <c r="P1817" s="1988">
        <f>'Part IX A-Scoring Criteria'!P263</f>
        <v>0</v>
      </c>
      <c r="Q1817" s="1681"/>
      <c r="V1817" s="2089"/>
      <c r="W1817" s="2089"/>
    </row>
    <row r="1818" spans="1:26" ht="18.75">
      <c r="A1818" s="1975"/>
      <c r="B1818" s="2098" t="s">
        <v>2004</v>
      </c>
      <c r="C1818" s="1872" t="s">
        <v>4074</v>
      </c>
      <c r="D1818" s="1901"/>
      <c r="E1818" s="1901"/>
      <c r="F1818" s="1901"/>
      <c r="G1818" s="1901"/>
      <c r="H1818" s="1901"/>
      <c r="I1818" s="1901"/>
      <c r="J1818" s="1901"/>
      <c r="K1818" s="1901"/>
      <c r="L1818" s="1901"/>
      <c r="M1818" s="1901"/>
      <c r="N1818" s="2048" t="s">
        <v>2004</v>
      </c>
      <c r="O1818" s="1942" t="str">
        <f>'Part IX A-Scoring Criteria'!O264</f>
        <v>Yes</v>
      </c>
      <c r="P1818" s="1942">
        <f>'Part IX A-Scoring Criteria'!P264</f>
        <v>0</v>
      </c>
      <c r="Q1818" s="1990"/>
      <c r="R1818" s="1629"/>
      <c r="S1818" s="1629"/>
      <c r="T1818" s="1629"/>
      <c r="U1818" s="1629"/>
      <c r="V1818" s="2133"/>
      <c r="W1818" s="2133"/>
      <c r="X1818" s="1629"/>
      <c r="Y1818" s="1629"/>
      <c r="Z1818" s="1629"/>
    </row>
    <row r="1819" spans="1:26" ht="15">
      <c r="A1819" s="1629"/>
      <c r="B1819" s="2041" t="s">
        <v>3780</v>
      </c>
      <c r="C1819" s="1629"/>
      <c r="D1819" s="1830"/>
      <c r="E1819" s="1830"/>
      <c r="F1819" s="1830"/>
      <c r="G1819" s="1830"/>
      <c r="H1819" s="478"/>
      <c r="I1819" s="478"/>
      <c r="J1819" s="2022"/>
      <c r="K1819" s="2022"/>
      <c r="L1819" s="2022"/>
      <c r="M1819" s="1828"/>
      <c r="N1819" s="1824"/>
      <c r="O1819" s="2021"/>
      <c r="P1819" s="1826"/>
      <c r="Q1819" s="2022"/>
      <c r="R1819" s="2022"/>
      <c r="S1819" s="2022"/>
      <c r="T1819" s="2022"/>
      <c r="U1819" s="2022"/>
      <c r="V1819" s="2022"/>
      <c r="W1819" s="2022"/>
      <c r="X1819" s="2022"/>
      <c r="Y1819" s="2022"/>
      <c r="Z1819" s="2022"/>
    </row>
    <row r="1820" spans="1:26" ht="409.5">
      <c r="A1820" s="1707" t="str">
        <f>'Part IX A-Scoring Criteria'!A266</f>
        <v xml:space="preserve"> Tindall Fields III qualifies for the maximum points for this scoring section. In 2017 the Macon community created a Community Transformation Plan, which received DCA’s approval as part of its allocation of credits for Tindall Fields II (DCA 17-028).  The Macon-Bibb political and local leaders in education, health, transportation, and employment came together thanks to the leadership of Mayor Robert Reichert, the United Way of Central Georgia (our Community Quarterback at the time) and MHA/In-Fill Housing (the Community Based Developer).  The 2017 Community Transformation Plan not only identified existing barriers to available resources but it has also led to the creation of several new initiatives as a direct result of the Plan’s development.  There were many creative responses where old problems met new opportunities including:  a) a Healthy Housing Initiative,  b) a “Leader in Me” program established for the Defined Neighborhood’s Elementary School and funded by a local family foundation, c) an Innovative Project Concept developed by Mercer University, targeting at-risk middle school kids and focusing on mentoring and whole-family financial literacy where the Bibb County School District, the Mid-South Federal Credit Union and Operation HOPE are major partners, d) a United Way-sponsored 211 Program, and so much more as described in the 2017 Community Transformation Plan.  
Since last year’s Tindall Fields II (DCA 17-028) is the second of three Tindall family phases, we have both “reached back” to include the Tindall Fields I (DCA 16-043) residents and we are “reaching forward” this year with Tindall Fields III, as well.  Including both Tindall Fields I and Tindall Fields III as part of the Transformation Plan is not genius on our part, its simple common sense. It in effect gives our various new initiatives a one year head start compared to other 2017 projects, since DCA will see our results from these new initiatives one year earlier than expected with the inclusion of Tindall Fields I.  Therefore, with three Tindall Fields developments, DCA will see both earlier results and program data for a longer period of time when compared to more typical community transformation projects.  
For Scoring Section A.4, we have received two new and significant funding commitments in full compliance with the DCA requirements for a Community Improvement Fund. First, the Community Foundation of Central Georgia has pledged $50,000 in scholarships to the future residents of Tindall Fields III and the Defined Neighborhood. This is an incredibly significant new contribution that speaks volumes about the community’s belief that what is taking place at Tindall is exciting and worth supporting. Second, we have a $5,000 commitment from the Middle Georgia State University Foundation that will also be earmarked for college scholarships for those aspiring students from the Defined Neighborhood.  Please see Tab 33-04-01 through 33-04-03.
IX.A.2.a):  Please note that although the Transformation Community Certificate at II.2.B requests philanthropic activity between 5/25/14 and 5/23/18, we have provided information from 5/25/15 through 5/23/18, as required by the QAP, Scoring Page 26, under “Philanthropic Activities”, the second bulleted item. 
For Scoring Section B, Community Quarterback Board,  our Community Quarterback Board exceeds all of the DCA requirements.  Please see Tab 33-05-05 which documents that 1/3 of the CQB members represent the low income cohort, while another 1/3 of the CQB members represent local government. Furthermore, this Board has already had its inaugural meeting and the minutes of that meeting along with meeting handouts, Agenda, sign-in sheet, and photos are all included at Tab 33-05-05. To carry the football analogy just a bit further, the Community Quarterback Board is already moving the ball downfield!
</v>
      </c>
      <c r="B1820" s="1707">
        <f>'Part IX A-Scoring Criteria'!B266</f>
        <v>0</v>
      </c>
      <c r="C1820" s="1707">
        <f>'Part IX A-Scoring Criteria'!C266</f>
        <v>0</v>
      </c>
      <c r="D1820" s="1707">
        <f>'Part IX A-Scoring Criteria'!D266</f>
        <v>0</v>
      </c>
      <c r="E1820" s="1707">
        <f>'Part IX A-Scoring Criteria'!E266</f>
        <v>0</v>
      </c>
      <c r="F1820" s="1707">
        <f>'Part IX A-Scoring Criteria'!F266</f>
        <v>0</v>
      </c>
      <c r="G1820" s="1707">
        <f>'Part IX A-Scoring Criteria'!G266</f>
        <v>0</v>
      </c>
      <c r="H1820" s="1707">
        <f>'Part IX A-Scoring Criteria'!H266</f>
        <v>0</v>
      </c>
      <c r="I1820" s="1707">
        <f>'Part IX A-Scoring Criteria'!I266</f>
        <v>0</v>
      </c>
      <c r="J1820" s="1707">
        <f>'Part IX A-Scoring Criteria'!J266</f>
        <v>0</v>
      </c>
      <c r="K1820" s="1707">
        <f>'Part IX A-Scoring Criteria'!K266</f>
        <v>0</v>
      </c>
      <c r="L1820" s="1707">
        <f>'Part IX A-Scoring Criteria'!L266</f>
        <v>0</v>
      </c>
      <c r="M1820" s="1707">
        <f>'Part IX A-Scoring Criteria'!M266</f>
        <v>0</v>
      </c>
      <c r="N1820" s="1707">
        <f>'Part IX A-Scoring Criteria'!N266</f>
        <v>0</v>
      </c>
      <c r="O1820" s="1707">
        <f>'Part IX A-Scoring Criteria'!O266</f>
        <v>0</v>
      </c>
      <c r="P1820" s="1707">
        <f>'Part IX A-Scoring Criteria'!P266</f>
        <v>0</v>
      </c>
      <c r="Q1820" s="2030"/>
      <c r="R1820" s="2022"/>
      <c r="S1820" s="2022"/>
      <c r="T1820" s="2022"/>
      <c r="U1820" s="2022"/>
      <c r="V1820" s="2022"/>
      <c r="W1820" s="2022"/>
      <c r="X1820" s="2022"/>
      <c r="Y1820" s="2022"/>
      <c r="Z1820" s="2022"/>
    </row>
    <row r="1821" spans="1:26" ht="15">
      <c r="A1821" s="1629"/>
      <c r="B1821" s="1937" t="s">
        <v>1880</v>
      </c>
      <c r="C1821" s="1629"/>
      <c r="D1821" s="1937"/>
      <c r="E1821" s="1939"/>
      <c r="F1821" s="1939"/>
      <c r="G1821" s="1939"/>
      <c r="H1821" s="1939"/>
      <c r="I1821" s="1939"/>
      <c r="J1821" s="1939"/>
      <c r="K1821" s="1939"/>
      <c r="L1821" s="1939"/>
      <c r="M1821" s="1939"/>
      <c r="N1821" s="2057"/>
      <c r="O1821" s="2028"/>
      <c r="P1821" s="1837"/>
      <c r="Q1821" s="2053"/>
      <c r="R1821" s="2022"/>
      <c r="S1821" s="2022"/>
      <c r="T1821" s="2022"/>
      <c r="U1821" s="2022"/>
      <c r="V1821" s="2022"/>
      <c r="W1821" s="2022"/>
      <c r="X1821" s="2022"/>
      <c r="Y1821" s="2022"/>
      <c r="Z1821" s="2022"/>
    </row>
    <row r="1822" spans="1:26" ht="15.75">
      <c r="A1822" s="1707">
        <f>'Part IX A-Scoring Criteria'!A268</f>
        <v>0</v>
      </c>
      <c r="B1822" s="1707">
        <f>'Part IX A-Scoring Criteria'!B268</f>
        <v>0</v>
      </c>
      <c r="C1822" s="1707">
        <f>'Part IX A-Scoring Criteria'!C268</f>
        <v>0</v>
      </c>
      <c r="D1822" s="1707">
        <f>'Part IX A-Scoring Criteria'!D268</f>
        <v>0</v>
      </c>
      <c r="E1822" s="1707">
        <f>'Part IX A-Scoring Criteria'!E268</f>
        <v>0</v>
      </c>
      <c r="F1822" s="1707">
        <f>'Part IX A-Scoring Criteria'!F268</f>
        <v>0</v>
      </c>
      <c r="G1822" s="1707">
        <f>'Part IX A-Scoring Criteria'!G268</f>
        <v>0</v>
      </c>
      <c r="H1822" s="1707">
        <f>'Part IX A-Scoring Criteria'!H268</f>
        <v>0</v>
      </c>
      <c r="I1822" s="1707">
        <f>'Part IX A-Scoring Criteria'!I268</f>
        <v>0</v>
      </c>
      <c r="J1822" s="1707">
        <f>'Part IX A-Scoring Criteria'!J268</f>
        <v>0</v>
      </c>
      <c r="K1822" s="1707">
        <f>'Part IX A-Scoring Criteria'!K268</f>
        <v>0</v>
      </c>
      <c r="L1822" s="1707">
        <f>'Part IX A-Scoring Criteria'!L268</f>
        <v>0</v>
      </c>
      <c r="M1822" s="1707">
        <f>'Part IX A-Scoring Criteria'!M268</f>
        <v>0</v>
      </c>
      <c r="N1822" s="1707">
        <f>'Part IX A-Scoring Criteria'!N268</f>
        <v>0</v>
      </c>
      <c r="O1822" s="1707">
        <f>'Part IX A-Scoring Criteria'!O268</f>
        <v>0</v>
      </c>
      <c r="P1822" s="1707">
        <f>'Part IX A-Scoring Criteria'!P268</f>
        <v>0</v>
      </c>
      <c r="Q1822" s="2030"/>
      <c r="R1822" s="2022"/>
      <c r="S1822" s="2022"/>
      <c r="T1822" s="2022"/>
      <c r="U1822" s="2022"/>
      <c r="V1822" s="2022"/>
      <c r="W1822" s="2022"/>
      <c r="X1822" s="2022"/>
      <c r="Y1822" s="2022"/>
      <c r="Z1822" s="2022"/>
    </row>
    <row r="1823" spans="1:26">
      <c r="N1823" s="1824"/>
      <c r="O1823" s="1826"/>
      <c r="P1823" s="1826"/>
    </row>
    <row r="1824" spans="1:26" ht="15">
      <c r="A1824" s="2023" t="s">
        <v>364</v>
      </c>
      <c r="B1824" s="2024" t="s">
        <v>2804</v>
      </c>
      <c r="C1824" s="2040"/>
      <c r="D1824" s="2041"/>
      <c r="E1824" s="2041"/>
      <c r="F1824" s="2040"/>
      <c r="G1824" s="2040"/>
      <c r="H1824" s="1631" t="s">
        <v>4231</v>
      </c>
      <c r="I1824" s="2040"/>
      <c r="J1824" s="2040"/>
      <c r="K1824" s="2040"/>
      <c r="L1824" s="2040"/>
      <c r="M1824" s="1837">
        <v>7</v>
      </c>
      <c r="N1824" s="1828"/>
      <c r="O1824" s="1840">
        <f>'Part IX A-Scoring Criteria'!O270</f>
        <v>0</v>
      </c>
      <c r="P1824" s="1840">
        <f>'Part IX A-Scoring Criteria'!P270</f>
        <v>0</v>
      </c>
      <c r="Q1824" s="1837" t="s">
        <v>443</v>
      </c>
      <c r="R1824" s="2022"/>
      <c r="S1824" s="2040"/>
      <c r="T1824" s="2040"/>
      <c r="U1824" s="2040"/>
      <c r="V1824" s="2040"/>
      <c r="W1824" s="2040"/>
      <c r="X1824" s="2040"/>
      <c r="Y1824" s="2040"/>
      <c r="Z1824" s="2040"/>
    </row>
    <row r="1825" spans="1:26" ht="15">
      <c r="A1825" s="2023"/>
      <c r="B1825" s="2024"/>
      <c r="C1825" s="2040"/>
      <c r="D1825" s="2041"/>
      <c r="E1825" s="2041"/>
      <c r="F1825" s="2040"/>
      <c r="G1825" s="2040"/>
      <c r="H1825" s="1631"/>
      <c r="I1825" s="2040"/>
      <c r="J1825" s="2040"/>
      <c r="K1825" s="2040"/>
      <c r="L1825" s="2040"/>
      <c r="M1825" s="1942"/>
      <c r="N1825" s="2040"/>
      <c r="O1825" s="2040"/>
      <c r="P1825" s="2040"/>
      <c r="Q1825" s="1837"/>
      <c r="R1825" s="2022"/>
      <c r="S1825" s="2040"/>
      <c r="T1825" s="2040"/>
      <c r="U1825" s="2040"/>
      <c r="V1825" s="2040"/>
      <c r="W1825" s="2040"/>
      <c r="X1825" s="2040"/>
      <c r="Y1825" s="2040"/>
      <c r="Z1825" s="2040"/>
    </row>
    <row r="1826" spans="1:26" ht="15">
      <c r="A1826" s="2134" t="s">
        <v>3626</v>
      </c>
      <c r="B1826" s="1844" t="s">
        <v>3624</v>
      </c>
      <c r="C1826" s="2040"/>
      <c r="D1826" s="2041"/>
      <c r="E1826" s="2041"/>
      <c r="F1826" s="2040"/>
      <c r="G1826" s="2040"/>
      <c r="H1826" s="1631"/>
      <c r="I1826" s="2040"/>
      <c r="J1826" s="2040"/>
      <c r="K1826" s="2040"/>
      <c r="L1826" s="2040"/>
      <c r="M1826" s="1828">
        <v>3</v>
      </c>
      <c r="N1826" s="2084" t="s">
        <v>4083</v>
      </c>
      <c r="O1826" s="1840">
        <f>'Part IX A-Scoring Criteria'!O272</f>
        <v>0</v>
      </c>
      <c r="P1826" s="1837">
        <f>'Part IX A-Scoring Criteria'!P272</f>
        <v>0</v>
      </c>
      <c r="Q1826" s="1837"/>
      <c r="R1826" s="2022"/>
      <c r="S1826" s="2040"/>
      <c r="T1826" s="2040"/>
      <c r="U1826" s="2040"/>
      <c r="V1826" s="2040"/>
      <c r="W1826" s="2040"/>
      <c r="X1826" s="2040"/>
      <c r="Y1826" s="2040"/>
      <c r="Z1826" s="2040"/>
    </row>
    <row r="1827" spans="1:26">
      <c r="A1827" s="2134"/>
      <c r="B1827" s="1830" t="s">
        <v>2812</v>
      </c>
      <c r="C1827" s="1330"/>
      <c r="D1827" s="1330"/>
      <c r="H1827" s="1844" t="str">
        <f>'Part I-Project Information'!$H$100</f>
        <v>Flexible</v>
      </c>
      <c r="N1827" s="2084"/>
      <c r="O1827" s="1986" t="s">
        <v>2527</v>
      </c>
      <c r="P1827" s="1986" t="s">
        <v>2527</v>
      </c>
    </row>
    <row r="1828" spans="1:26" ht="12.75" customHeight="1">
      <c r="A1828" s="2134"/>
      <c r="B1828" s="2093" t="s">
        <v>2002</v>
      </c>
      <c r="C1828" s="1156" t="s">
        <v>2702</v>
      </c>
      <c r="M1828" s="1824"/>
      <c r="N1828" s="2084"/>
      <c r="O1828" s="1942" t="str">
        <f>'Part IX A-Scoring Criteria'!O274</f>
        <v>N/a</v>
      </c>
      <c r="P1828" s="1942">
        <f>'Part IX A-Scoring Criteria'!P274</f>
        <v>0</v>
      </c>
      <c r="Q1828" s="2135" t="str">
        <f>IF(AND(O1828="Yes",O1831="Yes"),"Only 1 or 4 can be 'Yes'!","")</f>
        <v/>
      </c>
      <c r="R1828" s="2135"/>
    </row>
    <row r="1829" spans="1:26" ht="12.75" customHeight="1">
      <c r="B1829" s="2093" t="s">
        <v>2004</v>
      </c>
      <c r="C1829" s="1156" t="s">
        <v>2757</v>
      </c>
      <c r="G1829" s="1156" t="s">
        <v>2405</v>
      </c>
      <c r="H1829" s="2136" t="str">
        <f>'Part IX A-Scoring Criteria'!H275</f>
        <v>&lt; Select &gt;</v>
      </c>
      <c r="I1829" s="1156" t="s">
        <v>2758</v>
      </c>
      <c r="L1829" s="478" t="s">
        <v>2756</v>
      </c>
      <c r="M1829" s="1933" t="str">
        <f>IF(O1829&gt;H1829,"CHECK ACTUAL PERCENT!!!","")</f>
        <v/>
      </c>
      <c r="N1829" s="2059" t="s">
        <v>2004</v>
      </c>
      <c r="O1829" s="2137">
        <f>'Part IX A-Scoring Criteria'!O275</f>
        <v>0</v>
      </c>
      <c r="P1829" s="2137">
        <f>'Part IX A-Scoring Criteria'!P275</f>
        <v>0</v>
      </c>
      <c r="Q1829" s="2135"/>
      <c r="R1829" s="2135"/>
    </row>
    <row r="1830" spans="1:26" ht="12.75" customHeight="1">
      <c r="B1830" s="2093" t="s">
        <v>2551</v>
      </c>
      <c r="C1830" s="1156" t="s">
        <v>2406</v>
      </c>
      <c r="G1830" s="1156" t="s">
        <v>2407</v>
      </c>
      <c r="L1830" s="1872" t="s">
        <v>2750</v>
      </c>
      <c r="M1830" s="1629"/>
      <c r="N1830" s="2059" t="s">
        <v>2551</v>
      </c>
      <c r="O1830" s="1934" t="str">
        <f>'Part IX A-Scoring Criteria'!O276</f>
        <v>&lt;Select&gt;</v>
      </c>
      <c r="P1830" s="1934" t="str">
        <f>'Part IX A-Scoring Criteria'!P276</f>
        <v>&lt;Select&gt;</v>
      </c>
      <c r="Q1830" s="2135"/>
      <c r="R1830" s="2135"/>
    </row>
    <row r="1831" spans="1:26" ht="12.75" customHeight="1">
      <c r="A1831" s="1953"/>
      <c r="B1831" s="2098" t="s">
        <v>1236</v>
      </c>
      <c r="C1831" s="1936" t="s">
        <v>4839</v>
      </c>
      <c r="D1831" s="1936"/>
      <c r="E1831" s="1936"/>
      <c r="F1831" s="1936"/>
      <c r="G1831" s="1936"/>
      <c r="H1831" s="1936"/>
      <c r="I1831" s="1936"/>
      <c r="J1831" s="2138" t="s">
        <v>4082</v>
      </c>
      <c r="K1831" s="2138" t="s">
        <v>4080</v>
      </c>
      <c r="L1831" s="1953"/>
      <c r="M1831" s="1831">
        <v>2</v>
      </c>
      <c r="N1831" s="2059" t="s">
        <v>1236</v>
      </c>
      <c r="O1831" s="1988">
        <f>'Part IX A-Scoring Criteria'!O277</f>
        <v>0</v>
      </c>
      <c r="P1831" s="1988">
        <f>'Part IX A-Scoring Criteria'!P277</f>
        <v>0</v>
      </c>
      <c r="Q1831" s="2135"/>
      <c r="R1831" s="2135"/>
      <c r="S1831" s="1953"/>
      <c r="T1831" s="1953"/>
      <c r="U1831" s="1953"/>
      <c r="V1831" s="1953"/>
      <c r="W1831" s="1953"/>
      <c r="X1831" s="1953"/>
      <c r="Y1831" s="1953"/>
      <c r="Z1831" s="1953"/>
    </row>
    <row r="1832" spans="1:26">
      <c r="B1832" s="2094"/>
      <c r="C1832" s="1936"/>
      <c r="D1832" s="1936"/>
      <c r="E1832" s="1936"/>
      <c r="F1832" s="1936"/>
      <c r="G1832" s="1936"/>
      <c r="H1832" s="1936"/>
      <c r="I1832" s="1936"/>
      <c r="J1832" s="2138"/>
      <c r="K1832" s="2138"/>
      <c r="L1832" s="2139" t="s">
        <v>4145</v>
      </c>
      <c r="M1832" s="2139"/>
      <c r="O1832" s="1826"/>
      <c r="P1832" s="1826"/>
    </row>
    <row r="1833" spans="1:26">
      <c r="B1833" s="2094"/>
      <c r="C1833" s="1936"/>
      <c r="D1833" s="1936"/>
      <c r="E1833" s="1936"/>
      <c r="F1833" s="1936"/>
      <c r="G1833" s="1936"/>
      <c r="H1833" s="1936"/>
      <c r="I1833" s="1936"/>
      <c r="J1833" s="2140">
        <f>'Part IX A-Scoring Criteria'!J279</f>
        <v>0</v>
      </c>
      <c r="K1833" s="2141">
        <f>'Part IX A-Scoring Criteria'!K279</f>
        <v>0</v>
      </c>
      <c r="L1833" s="2142">
        <f>'Part IX A-Scoring Criteria'!L279</f>
        <v>10</v>
      </c>
      <c r="M1833" s="2143">
        <f>'Part IX A-Scoring Criteria'!M279</f>
        <v>0</v>
      </c>
      <c r="O1833" s="1826"/>
      <c r="P1833" s="1826"/>
    </row>
    <row r="1834" spans="1:26">
      <c r="A1834" s="1879" t="s">
        <v>757</v>
      </c>
      <c r="B1834" s="2093" t="s">
        <v>3625</v>
      </c>
      <c r="C1834" s="1156"/>
      <c r="G1834" s="1156"/>
      <c r="M1834" s="1828">
        <v>2</v>
      </c>
      <c r="N1834" s="1858" t="s">
        <v>757</v>
      </c>
      <c r="O1834" s="1840">
        <f>'Part IX A-Scoring Criteria'!O280</f>
        <v>0</v>
      </c>
      <c r="P1834" s="1840">
        <f>'Part IX A-Scoring Criteria'!P280</f>
        <v>0</v>
      </c>
    </row>
    <row r="1835" spans="1:26">
      <c r="A1835" s="1879"/>
      <c r="B1835" s="1999" t="s">
        <v>3629</v>
      </c>
      <c r="C1835" s="1999"/>
      <c r="D1835" s="1999"/>
      <c r="E1835" s="1999"/>
      <c r="F1835" s="1999"/>
      <c r="G1835" s="1999"/>
      <c r="H1835" s="1944"/>
      <c r="I1835" s="1944"/>
      <c r="N1835" s="1824"/>
      <c r="O1835" s="1934" t="str">
        <f>'Part IX A-Scoring Criteria'!O281</f>
        <v>&lt;Select&gt;</v>
      </c>
      <c r="P1835" s="1934" t="str">
        <f>'Part IX A-Scoring Criteria'!P281</f>
        <v>&lt;Select&gt;</v>
      </c>
    </row>
    <row r="1836" spans="1:26">
      <c r="A1836" s="1879" t="s">
        <v>2131</v>
      </c>
      <c r="B1836" s="2093" t="s">
        <v>3627</v>
      </c>
      <c r="C1836" s="1156"/>
      <c r="G1836" s="2010" t="s">
        <v>3628</v>
      </c>
      <c r="H1836" s="2144">
        <f>'Part VI-Revenues &amp; Expenses'!$O$59</f>
        <v>0</v>
      </c>
      <c r="I1836" s="1986" t="s">
        <v>3631</v>
      </c>
      <c r="J1836" s="2144">
        <f>'Part VI-Revenues &amp; Expenses'!$O$62</f>
        <v>65</v>
      </c>
      <c r="K1836" s="1986" t="s">
        <v>3632</v>
      </c>
      <c r="L1836" s="2145">
        <f>IF(J1836=0,0,H1836/J1836)</f>
        <v>0</v>
      </c>
      <c r="M1836" s="1828">
        <v>2</v>
      </c>
      <c r="N1836" s="1829" t="s">
        <v>2131</v>
      </c>
      <c r="O1836" s="1837">
        <f>'Part IX A-Scoring Criteria'!O282</f>
        <v>0</v>
      </c>
      <c r="P1836" s="1837">
        <f>'Part IX A-Scoring Criteria'!P282</f>
        <v>0</v>
      </c>
    </row>
    <row r="1837" spans="1:26" ht="15">
      <c r="A1837" s="1629"/>
      <c r="B1837" s="1937" t="s">
        <v>1880</v>
      </c>
      <c r="C1837" s="1629"/>
      <c r="D1837" s="1937"/>
      <c r="E1837" s="1939"/>
      <c r="F1837" s="1939"/>
      <c r="G1837" s="1939"/>
      <c r="H1837" s="1939"/>
      <c r="I1837" s="1939"/>
      <c r="J1837" s="1939"/>
      <c r="K1837" s="1939"/>
      <c r="L1837" s="1939"/>
      <c r="M1837" s="1939"/>
      <c r="N1837" s="2057"/>
      <c r="O1837" s="2028"/>
      <c r="P1837" s="1837"/>
      <c r="Q1837" s="2053"/>
      <c r="R1837" s="2022"/>
      <c r="S1837" s="2022"/>
      <c r="T1837" s="2022"/>
      <c r="U1837" s="2022"/>
      <c r="V1837" s="2022"/>
      <c r="W1837" s="2022"/>
      <c r="X1837" s="2022"/>
      <c r="Y1837" s="2022"/>
      <c r="Z1837" s="2022"/>
    </row>
    <row r="1838" spans="1:26" ht="15.75">
      <c r="A1838" s="1707">
        <f>'Part IX A-Scoring Criteria'!A284</f>
        <v>0</v>
      </c>
      <c r="B1838" s="1707">
        <f>'Part IX A-Scoring Criteria'!B284</f>
        <v>0</v>
      </c>
      <c r="C1838" s="1707">
        <f>'Part IX A-Scoring Criteria'!C284</f>
        <v>0</v>
      </c>
      <c r="D1838" s="1707">
        <f>'Part IX A-Scoring Criteria'!D284</f>
        <v>0</v>
      </c>
      <c r="E1838" s="1707">
        <f>'Part IX A-Scoring Criteria'!E284</f>
        <v>0</v>
      </c>
      <c r="F1838" s="1707">
        <f>'Part IX A-Scoring Criteria'!F284</f>
        <v>0</v>
      </c>
      <c r="G1838" s="1707">
        <f>'Part IX A-Scoring Criteria'!G284</f>
        <v>0</v>
      </c>
      <c r="H1838" s="1707">
        <f>'Part IX A-Scoring Criteria'!H284</f>
        <v>0</v>
      </c>
      <c r="I1838" s="1707">
        <f>'Part IX A-Scoring Criteria'!I284</f>
        <v>0</v>
      </c>
      <c r="J1838" s="1707">
        <f>'Part IX A-Scoring Criteria'!J284</f>
        <v>0</v>
      </c>
      <c r="K1838" s="1707">
        <f>'Part IX A-Scoring Criteria'!K284</f>
        <v>0</v>
      </c>
      <c r="L1838" s="1707">
        <f>'Part IX A-Scoring Criteria'!L284</f>
        <v>0</v>
      </c>
      <c r="M1838" s="1707">
        <f>'Part IX A-Scoring Criteria'!M284</f>
        <v>0</v>
      </c>
      <c r="N1838" s="1707">
        <f>'Part IX A-Scoring Criteria'!N284</f>
        <v>0</v>
      </c>
      <c r="O1838" s="1707">
        <f>'Part IX A-Scoring Criteria'!O284</f>
        <v>0</v>
      </c>
      <c r="P1838" s="1707">
        <f>'Part IX A-Scoring Criteria'!P284</f>
        <v>0</v>
      </c>
      <c r="Q1838" s="2030"/>
      <c r="R1838" s="2022"/>
      <c r="S1838" s="2022"/>
      <c r="T1838" s="2022"/>
      <c r="U1838" s="2022"/>
      <c r="V1838" s="2022"/>
      <c r="W1838" s="2022"/>
      <c r="X1838" s="2022"/>
      <c r="Y1838" s="2022"/>
      <c r="Z1838" s="2022"/>
    </row>
    <row r="1839" spans="1:26" ht="15">
      <c r="A1839" s="1629"/>
      <c r="B1839" s="2022"/>
      <c r="C1839" s="2022"/>
      <c r="D1839" s="478"/>
      <c r="E1839" s="478"/>
      <c r="F1839" s="1837"/>
      <c r="G1839" s="1837"/>
      <c r="H1839" s="1837"/>
      <c r="I1839" s="1837"/>
      <c r="J1839" s="1872"/>
      <c r="K1839" s="1872"/>
      <c r="L1839" s="1872"/>
      <c r="M1839" s="1934"/>
      <c r="N1839" s="1837"/>
      <c r="O1839" s="1826"/>
      <c r="P1839" s="2021"/>
      <c r="Q1839" s="2022"/>
      <c r="R1839" s="2022"/>
      <c r="S1839" s="2022"/>
      <c r="T1839" s="2022"/>
      <c r="U1839" s="2022"/>
      <c r="V1839" s="2022"/>
      <c r="W1839" s="2022"/>
      <c r="X1839" s="2022"/>
      <c r="Y1839" s="2022"/>
      <c r="Z1839" s="2022"/>
    </row>
    <row r="1840" spans="1:26" ht="15">
      <c r="A1840" s="2023" t="s">
        <v>365</v>
      </c>
      <c r="B1840" s="2024" t="s">
        <v>4084</v>
      </c>
      <c r="C1840" s="2040"/>
      <c r="D1840" s="2041"/>
      <c r="E1840" s="2041"/>
      <c r="F1840" s="2040"/>
      <c r="G1840" s="2040"/>
      <c r="H1840" s="1631"/>
      <c r="I1840" s="2146" t="s">
        <v>3828</v>
      </c>
      <c r="J1840" s="2040"/>
      <c r="K1840" s="2040"/>
      <c r="L1840" s="2040"/>
      <c r="M1840" s="1837">
        <v>10</v>
      </c>
      <c r="N1840" s="1828"/>
      <c r="O1840" s="2021">
        <f>'Part IX A-Scoring Criteria'!O286</f>
        <v>0</v>
      </c>
      <c r="P1840" s="2021">
        <f>'Part IX A-Scoring Criteria'!P286</f>
        <v>0</v>
      </c>
      <c r="Q1840" s="1837" t="s">
        <v>443</v>
      </c>
      <c r="R1840" s="2022"/>
      <c r="S1840" s="2040"/>
      <c r="T1840" s="2040"/>
      <c r="U1840" s="2040"/>
      <c r="V1840" s="2040"/>
      <c r="W1840" s="2040"/>
      <c r="X1840" s="2040"/>
      <c r="Y1840" s="2040"/>
      <c r="Z1840" s="2040"/>
    </row>
    <row r="1841" spans="1:26">
      <c r="A1841" s="1836" t="s">
        <v>1999</v>
      </c>
      <c r="B1841" s="2147" t="s">
        <v>3819</v>
      </c>
      <c r="D1841" s="1996"/>
      <c r="E1841" s="1996"/>
      <c r="F1841" s="1996"/>
      <c r="G1841" s="1996"/>
      <c r="H1841" s="1996"/>
      <c r="I1841" s="1996"/>
      <c r="J1841" s="1996"/>
      <c r="K1841" s="1996"/>
      <c r="L1841" s="1996"/>
      <c r="M1841" s="2148" t="str">
        <f>IF(OR(SUM(T1841:T1842)&gt;1,SUM(U1841:U1842)&gt;1),"Only one category can be met by other means!","")</f>
        <v/>
      </c>
      <c r="N1841" s="1977" t="s">
        <v>1999</v>
      </c>
      <c r="O1841" s="1942" t="str">
        <f>'Part IX A-Scoring Criteria'!O287</f>
        <v>No</v>
      </c>
      <c r="P1841" s="1942">
        <f>'Part IX A-Scoring Criteria'!P287</f>
        <v>0</v>
      </c>
      <c r="U1841" s="1986">
        <f>IF(L1841="Yes",1,0)</f>
        <v>0</v>
      </c>
    </row>
    <row r="1842" spans="1:26">
      <c r="A1842" s="1836" t="s">
        <v>2001</v>
      </c>
      <c r="B1842" s="2147" t="s">
        <v>3820</v>
      </c>
      <c r="D1842" s="1996"/>
      <c r="L1842" s="1996"/>
      <c r="M1842" s="2148"/>
      <c r="N1842" s="1977" t="s">
        <v>2001</v>
      </c>
      <c r="O1842" s="1942" t="str">
        <f>'Part IX A-Scoring Criteria'!O288</f>
        <v>No</v>
      </c>
      <c r="P1842" s="1942">
        <f>'Part IX A-Scoring Criteria'!P288</f>
        <v>0</v>
      </c>
      <c r="U1842" s="1986">
        <f>IF(L1842="Yes",1,0)</f>
        <v>0</v>
      </c>
    </row>
    <row r="1843" spans="1:26" ht="15">
      <c r="A1843" s="1629"/>
      <c r="B1843" s="2041" t="s">
        <v>3780</v>
      </c>
      <c r="C1843" s="1629"/>
      <c r="D1843" s="1830"/>
      <c r="E1843" s="1830"/>
      <c r="F1843" s="1830"/>
      <c r="G1843" s="1830"/>
      <c r="H1843" s="478"/>
      <c r="I1843" s="478"/>
      <c r="J1843" s="478"/>
      <c r="K1843" s="478"/>
      <c r="L1843" s="2022"/>
      <c r="M1843" s="1828"/>
      <c r="N1843" s="1824"/>
      <c r="O1843" s="2021"/>
      <c r="P1843" s="1826"/>
      <c r="Q1843" s="2022"/>
      <c r="R1843" s="2022"/>
      <c r="S1843" s="2022"/>
      <c r="T1843" s="2022"/>
      <c r="U1843" s="2022"/>
      <c r="V1843" s="2022"/>
      <c r="W1843" s="2022"/>
      <c r="X1843" s="2022"/>
      <c r="Y1843" s="2022"/>
      <c r="Z1843" s="2022"/>
    </row>
    <row r="1844" spans="1:26" ht="33.75">
      <c r="A1844" s="1936" t="str">
        <f>'Part IX A-Scoring Criteria'!A290</f>
        <v>Community Designations is N/A</v>
      </c>
      <c r="B1844" s="1936">
        <f>'Part IX A-Scoring Criteria'!B290</f>
        <v>0</v>
      </c>
      <c r="C1844" s="1936">
        <f>'Part IX A-Scoring Criteria'!C290</f>
        <v>0</v>
      </c>
      <c r="D1844" s="1936">
        <f>'Part IX A-Scoring Criteria'!D290</f>
        <v>0</v>
      </c>
      <c r="E1844" s="1936">
        <f>'Part IX A-Scoring Criteria'!E290</f>
        <v>0</v>
      </c>
      <c r="F1844" s="1936">
        <f>'Part IX A-Scoring Criteria'!F290</f>
        <v>0</v>
      </c>
      <c r="G1844" s="1936">
        <f>'Part IX A-Scoring Criteria'!G290</f>
        <v>0</v>
      </c>
      <c r="H1844" s="1936">
        <f>'Part IX A-Scoring Criteria'!H290</f>
        <v>0</v>
      </c>
      <c r="I1844" s="1936">
        <f>'Part IX A-Scoring Criteria'!I290</f>
        <v>0</v>
      </c>
      <c r="J1844" s="1936">
        <f>'Part IX A-Scoring Criteria'!J290</f>
        <v>0</v>
      </c>
      <c r="K1844" s="1936">
        <f>'Part IX A-Scoring Criteria'!K290</f>
        <v>0</v>
      </c>
      <c r="L1844" s="1936">
        <f>'Part IX A-Scoring Criteria'!L290</f>
        <v>0</v>
      </c>
      <c r="M1844" s="1936">
        <f>'Part IX A-Scoring Criteria'!M290</f>
        <v>0</v>
      </c>
      <c r="N1844" s="1936">
        <f>'Part IX A-Scoring Criteria'!N290</f>
        <v>0</v>
      </c>
      <c r="O1844" s="1936">
        <f>'Part IX A-Scoring Criteria'!O290</f>
        <v>0</v>
      </c>
      <c r="P1844" s="1936">
        <f>'Part IX A-Scoring Criteria'!P290</f>
        <v>0</v>
      </c>
      <c r="Q1844" s="2030"/>
      <c r="R1844" s="2022"/>
      <c r="S1844" s="2022"/>
      <c r="T1844" s="2022"/>
      <c r="U1844" s="2022"/>
      <c r="V1844" s="2022"/>
      <c r="W1844" s="2022"/>
      <c r="X1844" s="2022"/>
      <c r="Y1844" s="2022"/>
      <c r="Z1844" s="2022"/>
    </row>
    <row r="1845" spans="1:26" ht="15">
      <c r="A1845" s="1629"/>
      <c r="B1845" s="1937" t="s">
        <v>1880</v>
      </c>
      <c r="C1845" s="1629"/>
      <c r="D1845" s="1937"/>
      <c r="E1845" s="1939"/>
      <c r="F1845" s="1939"/>
      <c r="G1845" s="1939"/>
      <c r="H1845" s="1939"/>
      <c r="I1845" s="1939"/>
      <c r="J1845" s="1939"/>
      <c r="K1845" s="1939"/>
      <c r="L1845" s="1939"/>
      <c r="M1845" s="1939"/>
      <c r="N1845" s="2057"/>
      <c r="O1845" s="2028"/>
      <c r="P1845" s="1837"/>
      <c r="Q1845" s="2053"/>
      <c r="R1845" s="2022"/>
      <c r="S1845" s="2022"/>
      <c r="T1845" s="2022"/>
      <c r="U1845" s="2022"/>
      <c r="V1845" s="2022"/>
      <c r="W1845" s="2022"/>
      <c r="X1845" s="2022"/>
      <c r="Y1845" s="2022"/>
      <c r="Z1845" s="2022"/>
    </row>
    <row r="1846" spans="1:26" ht="15.75">
      <c r="A1846" s="1707">
        <f>'Part IX A-Scoring Criteria'!A292</f>
        <v>0</v>
      </c>
      <c r="B1846" s="1707">
        <f>'Part IX A-Scoring Criteria'!B292</f>
        <v>0</v>
      </c>
      <c r="C1846" s="1707">
        <f>'Part IX A-Scoring Criteria'!C292</f>
        <v>0</v>
      </c>
      <c r="D1846" s="1707">
        <f>'Part IX A-Scoring Criteria'!D292</f>
        <v>0</v>
      </c>
      <c r="E1846" s="1707">
        <f>'Part IX A-Scoring Criteria'!E292</f>
        <v>0</v>
      </c>
      <c r="F1846" s="1707">
        <f>'Part IX A-Scoring Criteria'!F292</f>
        <v>0</v>
      </c>
      <c r="G1846" s="1707">
        <f>'Part IX A-Scoring Criteria'!G292</f>
        <v>0</v>
      </c>
      <c r="H1846" s="1707">
        <f>'Part IX A-Scoring Criteria'!H292</f>
        <v>0</v>
      </c>
      <c r="I1846" s="1707">
        <f>'Part IX A-Scoring Criteria'!I292</f>
        <v>0</v>
      </c>
      <c r="J1846" s="1707">
        <f>'Part IX A-Scoring Criteria'!J292</f>
        <v>0</v>
      </c>
      <c r="K1846" s="1707">
        <f>'Part IX A-Scoring Criteria'!K292</f>
        <v>0</v>
      </c>
      <c r="L1846" s="1707">
        <f>'Part IX A-Scoring Criteria'!L292</f>
        <v>0</v>
      </c>
      <c r="M1846" s="1707">
        <f>'Part IX A-Scoring Criteria'!M292</f>
        <v>0</v>
      </c>
      <c r="N1846" s="1707">
        <f>'Part IX A-Scoring Criteria'!N292</f>
        <v>0</v>
      </c>
      <c r="O1846" s="1707">
        <f>'Part IX A-Scoring Criteria'!O292</f>
        <v>0</v>
      </c>
      <c r="P1846" s="1707">
        <f>'Part IX A-Scoring Criteria'!P292</f>
        <v>0</v>
      </c>
      <c r="Q1846" s="2030"/>
      <c r="R1846" s="2022"/>
      <c r="S1846" s="2022"/>
      <c r="T1846" s="2022"/>
      <c r="U1846" s="2022"/>
      <c r="V1846" s="2022"/>
      <c r="W1846" s="2022"/>
      <c r="X1846" s="2022"/>
      <c r="Y1846" s="2022"/>
      <c r="Z1846" s="2022"/>
    </row>
    <row r="1847" spans="1:26" ht="15">
      <c r="A1847" s="1629"/>
      <c r="B1847" s="2022"/>
      <c r="C1847" s="2022"/>
      <c r="D1847" s="478"/>
      <c r="E1847" s="478"/>
      <c r="F1847" s="1837"/>
      <c r="G1847" s="1837"/>
      <c r="H1847" s="1837"/>
      <c r="I1847" s="1837"/>
      <c r="J1847" s="1872"/>
      <c r="K1847" s="1872"/>
      <c r="L1847" s="1872"/>
      <c r="M1847" s="1934"/>
      <c r="N1847" s="1837"/>
      <c r="O1847" s="1826"/>
      <c r="P1847" s="2021"/>
      <c r="Q1847" s="2022"/>
      <c r="R1847" s="2022"/>
      <c r="S1847" s="2022"/>
      <c r="T1847" s="2022"/>
      <c r="U1847" s="2022"/>
      <c r="V1847" s="2022"/>
      <c r="W1847" s="2022"/>
      <c r="X1847" s="2022"/>
      <c r="Y1847" s="2022"/>
      <c r="Z1847" s="2022"/>
    </row>
    <row r="1848" spans="1:26" ht="15">
      <c r="A1848" s="2023" t="s">
        <v>366</v>
      </c>
      <c r="B1848" s="2024" t="s">
        <v>2475</v>
      </c>
      <c r="C1848" s="2022"/>
      <c r="D1848" s="2058"/>
      <c r="E1848" s="2058"/>
      <c r="F1848" s="2058"/>
      <c r="G1848" s="2022"/>
      <c r="H1848" s="2071" t="s">
        <v>3412</v>
      </c>
      <c r="I1848" s="2022"/>
      <c r="J1848" s="1933" t="s">
        <v>2812</v>
      </c>
      <c r="K1848" s="1830"/>
      <c r="L1848" s="1933" t="str">
        <f>'Part I-Project Information'!$H$100</f>
        <v>Flexible</v>
      </c>
      <c r="M1848" s="1837">
        <v>4</v>
      </c>
      <c r="N1848" s="1828"/>
      <c r="O1848" s="1837">
        <f>'Part IX A-Scoring Criteria'!O294</f>
        <v>3</v>
      </c>
      <c r="P1848" s="1837">
        <f>'Part IX A-Scoring Criteria'!P294</f>
        <v>0</v>
      </c>
      <c r="Q1848" s="1837" t="s">
        <v>443</v>
      </c>
      <c r="R1848" s="2022"/>
      <c r="S1848" s="2022"/>
      <c r="T1848" s="2022"/>
      <c r="U1848" s="2022"/>
      <c r="V1848" s="2022"/>
      <c r="W1848" s="2022"/>
      <c r="X1848" s="2022"/>
      <c r="Y1848" s="2022"/>
      <c r="Z1848" s="2022"/>
    </row>
    <row r="1849" spans="1:26">
      <c r="A1849" s="1836" t="s">
        <v>1999</v>
      </c>
      <c r="B1849" s="1844" t="s">
        <v>4840</v>
      </c>
      <c r="D1849" s="1629"/>
      <c r="E1849" s="1629"/>
      <c r="F1849" s="1629"/>
      <c r="H1849" s="1933" t="s">
        <v>3710</v>
      </c>
      <c r="I1849" s="1156"/>
      <c r="J1849" s="1933" t="str">
        <f>'Part I-Project Information'!$O$34</f>
        <v>Yes- w/Master Plan</v>
      </c>
      <c r="K1849" s="1933"/>
      <c r="L1849" s="2088" t="str">
        <f>'Part I-Project Information'!$O$35</f>
        <v>2017-028</v>
      </c>
      <c r="M1849" s="1828">
        <v>3</v>
      </c>
      <c r="N1849" s="1977" t="s">
        <v>1999</v>
      </c>
      <c r="O1849" s="2021">
        <f>'Part IX A-Scoring Criteria'!O295</f>
        <v>0</v>
      </c>
      <c r="P1849" s="2021">
        <f>'Part IX A-Scoring Criteria'!P295</f>
        <v>0</v>
      </c>
      <c r="Q1849" s="2061" t="str">
        <f>IF(OR($O1849=$M1849,$O1849=0,$O1849=""),"","*CHECK!*")</f>
        <v/>
      </c>
      <c r="R1849" s="2105" t="s">
        <v>2724</v>
      </c>
    </row>
    <row r="1850" spans="1:26" ht="12.75" customHeight="1">
      <c r="A1850" s="1156"/>
      <c r="B1850" s="2098" t="s">
        <v>2002</v>
      </c>
      <c r="C1850" s="1936" t="s">
        <v>4244</v>
      </c>
      <c r="D1850" s="1936"/>
      <c r="E1850" s="1936"/>
      <c r="F1850" s="1936"/>
      <c r="G1850" s="1936"/>
      <c r="H1850" s="1936"/>
      <c r="I1850" s="1936"/>
      <c r="J1850" s="1936"/>
      <c r="K1850" s="1936"/>
      <c r="L1850" s="1936"/>
      <c r="M1850" s="1936"/>
      <c r="N1850" s="2048" t="s">
        <v>2002</v>
      </c>
      <c r="O1850" s="1988">
        <f>'Part IX A-Scoring Criteria'!O296</f>
        <v>0</v>
      </c>
      <c r="P1850" s="1988">
        <f>'Part IX A-Scoring Criteria'!P296</f>
        <v>0</v>
      </c>
      <c r="Q1850" s="1936" t="s">
        <v>4841</v>
      </c>
      <c r="R1850" s="1936"/>
      <c r="S1850" s="1936"/>
      <c r="T1850" s="1936"/>
      <c r="U1850" s="1936"/>
      <c r="V1850" s="1936"/>
      <c r="W1850" s="1936"/>
      <c r="X1850" s="1936"/>
      <c r="Y1850" s="1936"/>
      <c r="Z1850" s="1936"/>
    </row>
    <row r="1851" spans="1:26">
      <c r="A1851" s="478"/>
      <c r="B1851" s="2093"/>
      <c r="C1851" s="478" t="s">
        <v>3834</v>
      </c>
      <c r="D1851" s="478"/>
      <c r="E1851" s="478"/>
      <c r="F1851" s="478"/>
      <c r="G1851" s="478"/>
      <c r="H1851" s="1872" t="s">
        <v>2600</v>
      </c>
      <c r="I1851" s="2086">
        <f>'Part IX A-Scoring Criteria'!I297</f>
        <v>0</v>
      </c>
      <c r="J1851" s="1872" t="s">
        <v>2317</v>
      </c>
      <c r="K1851" s="478">
        <f>'Part IX A-Scoring Criteria'!K297</f>
        <v>0</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2093"/>
      <c r="C1852" s="478" t="s">
        <v>3889</v>
      </c>
      <c r="D1852" s="478"/>
      <c r="E1852" s="478"/>
      <c r="F1852" s="478"/>
      <c r="G1852" s="478"/>
      <c r="H1852" s="1872" t="s">
        <v>2600</v>
      </c>
      <c r="I1852" s="2086">
        <f>'Part IX A-Scoring Criteria'!I298</f>
        <v>0</v>
      </c>
      <c r="J1852" s="1872" t="s">
        <v>2317</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2093" t="s">
        <v>2004</v>
      </c>
      <c r="C1853" s="478" t="s">
        <v>972</v>
      </c>
      <c r="D1853" s="478"/>
      <c r="E1853" s="478"/>
      <c r="F1853" s="478"/>
      <c r="G1853" s="478"/>
      <c r="H1853" s="478"/>
      <c r="I1853" s="478"/>
      <c r="J1853" s="478"/>
      <c r="K1853" s="478"/>
      <c r="L1853" s="478"/>
      <c r="M1853" s="1828"/>
      <c r="N1853" s="2059" t="s">
        <v>2004</v>
      </c>
      <c r="O1853" s="1942">
        <f>'Part IX A-Scoring Criteria'!O299</f>
        <v>0</v>
      </c>
      <c r="P1853" s="1942">
        <f>'Part IX A-Scoring Criteria'!P299</f>
        <v>0</v>
      </c>
      <c r="Q1853" s="478"/>
      <c r="R1853" s="478"/>
      <c r="S1853" s="478"/>
      <c r="T1853" s="478"/>
      <c r="U1853" s="478"/>
      <c r="V1853" s="478"/>
      <c r="W1853" s="478"/>
      <c r="X1853" s="478"/>
      <c r="Y1853" s="478"/>
      <c r="Z1853" s="478"/>
    </row>
    <row r="1854" spans="1:26">
      <c r="A1854" s="478"/>
      <c r="B1854" s="2093" t="s">
        <v>2551</v>
      </c>
      <c r="C1854" s="478" t="s">
        <v>973</v>
      </c>
      <c r="D1854" s="478"/>
      <c r="E1854" s="478"/>
      <c r="F1854" s="478"/>
      <c r="G1854" s="478"/>
      <c r="H1854" s="478"/>
      <c r="I1854" s="478"/>
      <c r="J1854" s="478"/>
      <c r="K1854" s="478"/>
      <c r="L1854" s="478"/>
      <c r="M1854" s="1828"/>
      <c r="N1854" s="2059" t="s">
        <v>2551</v>
      </c>
      <c r="O1854" s="1942">
        <f>'Part IX A-Scoring Criteria'!O300</f>
        <v>0</v>
      </c>
      <c r="P1854" s="1942">
        <f>'Part IX A-Scoring Criteria'!P300</f>
        <v>0</v>
      </c>
      <c r="Q1854" s="478"/>
      <c r="R1854" s="478"/>
      <c r="S1854" s="478"/>
      <c r="T1854" s="478"/>
      <c r="U1854" s="478"/>
      <c r="V1854" s="478"/>
      <c r="W1854" s="478"/>
      <c r="X1854" s="478"/>
      <c r="Y1854" s="478"/>
      <c r="Z1854" s="478"/>
    </row>
    <row r="1855" spans="1:26">
      <c r="A1855" s="1975"/>
      <c r="B1855" s="2093" t="s">
        <v>1236</v>
      </c>
      <c r="C1855" s="478" t="s">
        <v>974</v>
      </c>
      <c r="D1855" s="478"/>
      <c r="E1855" s="478"/>
      <c r="F1855" s="478"/>
      <c r="G1855" s="478"/>
      <c r="H1855" s="478"/>
      <c r="I1855" s="478"/>
      <c r="J1855" s="478"/>
      <c r="K1855" s="478"/>
      <c r="L1855" s="478"/>
      <c r="M1855" s="1828"/>
      <c r="N1855" s="2059" t="s">
        <v>1236</v>
      </c>
      <c r="O1855" s="1942">
        <f>'Part IX A-Scoring Criteria'!O301</f>
        <v>0</v>
      </c>
      <c r="P1855" s="1942">
        <f>'Part IX A-Scoring Criteria'!P301</f>
        <v>0</v>
      </c>
      <c r="Q1855" s="478"/>
      <c r="R1855" s="478"/>
      <c r="S1855" s="478"/>
      <c r="T1855" s="478"/>
      <c r="U1855" s="478"/>
      <c r="V1855" s="478"/>
      <c r="W1855" s="478"/>
      <c r="X1855" s="478"/>
      <c r="Y1855" s="478"/>
      <c r="Z1855" s="478"/>
    </row>
    <row r="1856" spans="1:26">
      <c r="A1856" s="1836" t="s">
        <v>2001</v>
      </c>
      <c r="B1856" s="1844" t="s">
        <v>4842</v>
      </c>
      <c r="C1856" s="1629"/>
      <c r="D1856" s="1629"/>
      <c r="E1856" s="1629"/>
      <c r="F1856" s="1629"/>
      <c r="G1856" s="1629"/>
      <c r="H1856" s="2071" t="s">
        <v>3413</v>
      </c>
      <c r="I1856" s="1629"/>
      <c r="J1856" s="1629"/>
      <c r="K1856" s="1629"/>
      <c r="L1856" s="1629"/>
      <c r="M1856" s="1629"/>
      <c r="N1856" s="1629"/>
      <c r="O1856" s="1629"/>
      <c r="P1856" s="1629"/>
      <c r="Q1856" s="1629"/>
      <c r="R1856" s="1629"/>
      <c r="S1856" s="1629"/>
      <c r="T1856" s="1629"/>
      <c r="U1856" s="1629"/>
      <c r="V1856" s="1629"/>
      <c r="W1856" s="1629"/>
      <c r="X1856" s="1629"/>
      <c r="Y1856" s="1629"/>
      <c r="Z1856" s="1629"/>
    </row>
    <row r="1857" spans="1:26">
      <c r="A1857" s="1836"/>
      <c r="B1857" s="1830" t="s">
        <v>3633</v>
      </c>
      <c r="C1857" s="1629"/>
      <c r="D1857" s="1629"/>
      <c r="E1857" s="1629"/>
      <c r="F1857" s="1629"/>
      <c r="G1857" s="1629"/>
      <c r="H1857" s="2071"/>
      <c r="I1857" s="1629"/>
      <c r="J1857" s="1629"/>
      <c r="K1857" s="1629"/>
      <c r="L1857" s="1629"/>
      <c r="M1857" s="1828">
        <v>3</v>
      </c>
      <c r="N1857" s="1977" t="s">
        <v>2001</v>
      </c>
      <c r="O1857" s="2021">
        <f>'Part IX A-Scoring Criteria'!O303</f>
        <v>3</v>
      </c>
      <c r="P1857" s="2021">
        <f>'Part IX A-Scoring Criteria'!P303</f>
        <v>0</v>
      </c>
      <c r="Q1857" s="1629"/>
      <c r="R1857" s="1629"/>
      <c r="S1857" s="1629"/>
      <c r="T1857" s="1629"/>
      <c r="U1857" s="1629"/>
      <c r="V1857" s="1629"/>
      <c r="W1857" s="1629"/>
      <c r="X1857" s="1629"/>
      <c r="Y1857" s="1629"/>
      <c r="Z1857" s="1629"/>
    </row>
    <row r="1858" spans="1:26">
      <c r="A1858" s="1629"/>
      <c r="B1858" s="2093" t="s">
        <v>2002</v>
      </c>
      <c r="C1858" s="1933" t="s">
        <v>4843</v>
      </c>
      <c r="D1858" s="1629"/>
      <c r="E1858" s="1629"/>
      <c r="F1858" s="1629"/>
      <c r="G1858" s="1629"/>
      <c r="H1858" s="1629"/>
      <c r="I1858" s="1629"/>
      <c r="J1858" s="1629"/>
      <c r="K1858" s="1629"/>
      <c r="L1858" s="1985" t="str">
        <f>IF(OR($O1858=$M1858,$O1858=0,$O1858=""),"","* * Check Score! * *")</f>
        <v/>
      </c>
      <c r="M1858" s="1828">
        <v>3</v>
      </c>
      <c r="N1858" s="2091" t="s">
        <v>2002</v>
      </c>
      <c r="O1858" s="2021">
        <f>'Part IX A-Scoring Criteria'!O304</f>
        <v>3</v>
      </c>
      <c r="P1858" s="2021">
        <f>'Part IX A-Scoring Criteria'!P304</f>
        <v>0</v>
      </c>
      <c r="Q1858" s="2061" t="str">
        <f>IF(OR($O1858=$M1858,$O1858=0,$O1858=""),"","*CHECK!*")</f>
        <v/>
      </c>
      <c r="R1858" s="2105" t="s">
        <v>2724</v>
      </c>
      <c r="S1858" s="1629"/>
      <c r="T1858" s="1629"/>
      <c r="U1858" s="1629"/>
      <c r="V1858" s="1629"/>
      <c r="W1858" s="1629"/>
      <c r="X1858" s="1629"/>
      <c r="Y1858" s="1629"/>
      <c r="Z1858" s="1629"/>
    </row>
    <row r="1859" spans="1:26">
      <c r="A1859" s="1942" t="s">
        <v>1365</v>
      </c>
      <c r="B1859" s="2098" t="s">
        <v>2004</v>
      </c>
      <c r="C1859" s="1993" t="s">
        <v>4844</v>
      </c>
      <c r="D1859" s="1629"/>
      <c r="E1859" s="1629"/>
      <c r="F1859" s="1629"/>
      <c r="G1859" s="1872"/>
      <c r="H1859" s="2071"/>
      <c r="I1859" s="1872"/>
      <c r="L1859" s="1985" t="str">
        <f>IF(OR($O1859=$M1859,$O1859=0,$O1859=""),"","* * Check Score! * *")</f>
        <v/>
      </c>
      <c r="M1859" s="1824">
        <v>2</v>
      </c>
      <c r="N1859" s="2091" t="s">
        <v>2004</v>
      </c>
      <c r="O1859" s="2021">
        <f>'Part IX A-Scoring Criteria'!O305</f>
        <v>0</v>
      </c>
      <c r="P1859" s="2021">
        <f>'Part IX A-Scoring Criteria'!P305</f>
        <v>0</v>
      </c>
      <c r="Q1859" s="2061" t="str">
        <f>IF(OR($O1859=$M1859,$O1859=0,$O1859=""),"","*CHECK!*")</f>
        <v/>
      </c>
      <c r="R1859" s="2105" t="s">
        <v>2724</v>
      </c>
    </row>
    <row r="1860" spans="1:26">
      <c r="A1860" s="1836" t="s">
        <v>757</v>
      </c>
      <c r="B1860" s="1844" t="s">
        <v>4845</v>
      </c>
      <c r="C1860" s="1629"/>
      <c r="D1860" s="1629"/>
      <c r="E1860" s="1629"/>
      <c r="F1860" s="1629"/>
      <c r="G1860" s="1629"/>
      <c r="H1860" s="2071" t="s">
        <v>4090</v>
      </c>
      <c r="I1860" s="1629"/>
      <c r="J1860" s="1629"/>
      <c r="K1860" s="1629"/>
      <c r="L1860" s="1629"/>
      <c r="M1860" s="1629"/>
      <c r="N1860" s="1629"/>
      <c r="O1860" s="1629"/>
      <c r="P1860" s="1629"/>
      <c r="Q1860" s="1629"/>
      <c r="R1860" s="1629"/>
      <c r="S1860" s="1629"/>
      <c r="T1860" s="1629"/>
      <c r="U1860" s="1629"/>
      <c r="V1860" s="1629"/>
      <c r="W1860" s="1629"/>
      <c r="X1860" s="1629"/>
      <c r="Y1860" s="1629"/>
      <c r="Z1860" s="1629"/>
    </row>
    <row r="1861" spans="1:26">
      <c r="A1861" s="1836"/>
      <c r="B1861" s="1830" t="s">
        <v>3636</v>
      </c>
      <c r="C1861" s="1629"/>
      <c r="D1861" s="1629"/>
      <c r="E1861" s="1629"/>
      <c r="F1861" s="1629"/>
      <c r="G1861" s="1629"/>
      <c r="H1861" s="2071"/>
      <c r="I1861" s="1629"/>
      <c r="J1861" s="1629"/>
      <c r="K1861" s="1629"/>
      <c r="L1861" s="1629"/>
      <c r="M1861" s="1828">
        <v>4</v>
      </c>
      <c r="N1861" s="1977" t="s">
        <v>757</v>
      </c>
      <c r="O1861" s="2021">
        <f>'Part IX A-Scoring Criteria'!O307</f>
        <v>0</v>
      </c>
      <c r="P1861" s="2021">
        <f>'Part IX A-Scoring Criteria'!P307</f>
        <v>0</v>
      </c>
      <c r="Q1861" s="1629"/>
      <c r="R1861" s="1629"/>
      <c r="S1861" s="1629"/>
      <c r="T1861" s="1629"/>
      <c r="U1861" s="1629"/>
      <c r="V1861" s="1629"/>
      <c r="W1861" s="1629"/>
      <c r="X1861" s="1629"/>
      <c r="Y1861" s="1629"/>
      <c r="Z1861" s="1629"/>
    </row>
    <row r="1862" spans="1:26">
      <c r="A1862" s="1629"/>
      <c r="B1862" s="2093" t="s">
        <v>2002</v>
      </c>
      <c r="C1862" s="1156" t="s">
        <v>3635</v>
      </c>
      <c r="D1862" s="1629"/>
      <c r="E1862" s="1629"/>
      <c r="F1862" s="1629"/>
      <c r="G1862" s="1629"/>
      <c r="H1862" s="1629"/>
      <c r="I1862" s="1629"/>
      <c r="J1862" s="1629"/>
      <c r="K1862" s="1841" t="str">
        <f>IF(OR(AND(O1862&gt;0,O1864&gt;0), AND(O1863&gt;0,O1864&gt;0), AND(O1862&gt;0,O1863&gt;0)),"Choose option 1 or 2 or 3!!!","")</f>
        <v/>
      </c>
      <c r="L1862" s="1841"/>
      <c r="M1862" s="1828">
        <v>4</v>
      </c>
      <c r="N1862" s="2091" t="s">
        <v>2002</v>
      </c>
      <c r="O1862" s="2021">
        <f>'Part IX A-Scoring Criteria'!O308</f>
        <v>0</v>
      </c>
      <c r="P1862" s="2021">
        <f>'Part IX A-Scoring Criteria'!P308</f>
        <v>0</v>
      </c>
      <c r="Q1862" s="2061" t="str">
        <f>IF(OR($O1862=$M1862,$O1862=0,$O1862=""),"","*CHECK!*")</f>
        <v/>
      </c>
      <c r="R1862" s="2105" t="s">
        <v>2724</v>
      </c>
      <c r="S1862" s="1629"/>
      <c r="T1862" s="1629"/>
      <c r="U1862" s="1629"/>
      <c r="V1862" s="1629"/>
      <c r="W1862" s="1629"/>
      <c r="X1862" s="1629"/>
      <c r="Y1862" s="1629"/>
      <c r="Z1862" s="1629"/>
    </row>
    <row r="1863" spans="1:26">
      <c r="A1863" s="1942" t="s">
        <v>1365</v>
      </c>
      <c r="B1863" s="2098" t="s">
        <v>2004</v>
      </c>
      <c r="C1863" s="1933" t="s">
        <v>4846</v>
      </c>
      <c r="D1863" s="1629"/>
      <c r="E1863" s="1629"/>
      <c r="F1863" s="1629"/>
      <c r="G1863" s="1872"/>
      <c r="H1863" s="1873"/>
      <c r="I1863" s="1872"/>
      <c r="K1863" s="1841"/>
      <c r="L1863" s="1841"/>
      <c r="M1863" s="1824">
        <v>3</v>
      </c>
      <c r="N1863" s="2091" t="s">
        <v>2004</v>
      </c>
      <c r="O1863" s="2021">
        <f>'Part IX A-Scoring Criteria'!O309</f>
        <v>0</v>
      </c>
      <c r="P1863" s="2021">
        <f>'Part IX A-Scoring Criteria'!P309</f>
        <v>0</v>
      </c>
      <c r="Q1863" s="2061" t="str">
        <f t="shared" ref="Q1863:Q1864" si="326">IF(OR($O1863=$M1863,$O1863=0,$O1863=""),"","*CHECK!*")</f>
        <v/>
      </c>
      <c r="R1863" s="2105" t="s">
        <v>2724</v>
      </c>
    </row>
    <row r="1864" spans="1:26">
      <c r="A1864" s="1942" t="s">
        <v>1365</v>
      </c>
      <c r="B1864" s="2098" t="s">
        <v>2551</v>
      </c>
      <c r="C1864" s="1993" t="s">
        <v>4847</v>
      </c>
      <c r="D1864" s="1629"/>
      <c r="E1864" s="1629"/>
      <c r="F1864" s="1629"/>
      <c r="G1864" s="1872"/>
      <c r="H1864" s="2071"/>
      <c r="I1864" s="1872"/>
      <c r="K1864" s="1841"/>
      <c r="L1864" s="1841"/>
      <c r="M1864" s="1824">
        <v>2</v>
      </c>
      <c r="N1864" s="2091" t="s">
        <v>2551</v>
      </c>
      <c r="O1864" s="2021">
        <f>'Part IX A-Scoring Criteria'!O310</f>
        <v>0</v>
      </c>
      <c r="P1864" s="2021">
        <f>'Part IX A-Scoring Criteria'!P310</f>
        <v>0</v>
      </c>
      <c r="Q1864" s="2061" t="str">
        <f t="shared" si="326"/>
        <v/>
      </c>
      <c r="R1864" s="2105" t="s">
        <v>2724</v>
      </c>
    </row>
    <row r="1865" spans="1:26" ht="15">
      <c r="A1865" s="1629"/>
      <c r="B1865" s="2041" t="s">
        <v>3780</v>
      </c>
      <c r="C1865" s="1629"/>
      <c r="D1865" s="1830"/>
      <c r="E1865" s="1830"/>
      <c r="F1865" s="1830"/>
      <c r="G1865" s="1830"/>
      <c r="H1865" s="478"/>
      <c r="I1865" s="478"/>
      <c r="J1865" s="478"/>
      <c r="K1865" s="478"/>
      <c r="L1865" s="2022"/>
      <c r="M1865" s="1828"/>
      <c r="N1865" s="1824"/>
      <c r="O1865" s="2021"/>
      <c r="P1865" s="1826"/>
      <c r="Q1865" s="2022"/>
      <c r="R1865" s="2022"/>
      <c r="S1865" s="2022"/>
      <c r="T1865" s="2022"/>
      <c r="U1865" s="2022"/>
      <c r="V1865" s="2022"/>
      <c r="W1865" s="2022"/>
      <c r="X1865" s="2022"/>
      <c r="Y1865" s="2022"/>
      <c r="Z1865" s="2022"/>
    </row>
    <row r="1866" spans="1:26" ht="409.5">
      <c r="A1866" s="1936" t="str">
        <f>'Part IX A-Scoring Criteria'!A312</f>
        <v xml:space="preserve">Tindall Fields III qualifies for the maximum 3 points for this scoring section because Tindall Fields III is part of a phased development.  There’s no hiding the fact that Tindall Fields III is the fourth and final phase of the Tindall redevelopment plan; please see Tab 36-01 documenting this. This means that we cannot qualify for points under QAP scoring section XII.A since, per that section of the 2018 QAP, “…only the second and third phase of a project may receive these points.” However, QAP scoring section XII.B on page 34 exempts PHA-sponsored developments by stating that “the following developments are not included in the analysis of previous completive funding cycles: phased public housing development properties.”  
Tab 36-02 has been expanded to document that Tindall Fields III is part of a phased public housing redevelopment, and we therefore qualify for points under scoring section XII.B, page 34.  The following documentation is provided to show that Tindall Fields III is part of a phased development:  Tab 36-02-01, HUD’s approval of MHA’s Demo-Dispo Plan, showing that MHA has site control for the entire Tindall site; and Tab 36-02-02, MHA and In-Fill Housing II entered into Options to ground lease Phases II-IV in 2016.
</v>
      </c>
      <c r="B1866" s="1936">
        <f>'Part IX A-Scoring Criteria'!B312</f>
        <v>0</v>
      </c>
      <c r="C1866" s="1936">
        <f>'Part IX A-Scoring Criteria'!C312</f>
        <v>0</v>
      </c>
      <c r="D1866" s="1936">
        <f>'Part IX A-Scoring Criteria'!D312</f>
        <v>0</v>
      </c>
      <c r="E1866" s="1936">
        <f>'Part IX A-Scoring Criteria'!E312</f>
        <v>0</v>
      </c>
      <c r="F1866" s="1936">
        <f>'Part IX A-Scoring Criteria'!F312</f>
        <v>0</v>
      </c>
      <c r="G1866" s="1936">
        <f>'Part IX A-Scoring Criteria'!G312</f>
        <v>0</v>
      </c>
      <c r="H1866" s="1936">
        <f>'Part IX A-Scoring Criteria'!H312</f>
        <v>0</v>
      </c>
      <c r="I1866" s="1936">
        <f>'Part IX A-Scoring Criteria'!I312</f>
        <v>0</v>
      </c>
      <c r="J1866" s="1936">
        <f>'Part IX A-Scoring Criteria'!J312</f>
        <v>0</v>
      </c>
      <c r="K1866" s="1936">
        <f>'Part IX A-Scoring Criteria'!K312</f>
        <v>0</v>
      </c>
      <c r="L1866" s="1936">
        <f>'Part IX A-Scoring Criteria'!L312</f>
        <v>0</v>
      </c>
      <c r="M1866" s="1936">
        <f>'Part IX A-Scoring Criteria'!M312</f>
        <v>0</v>
      </c>
      <c r="N1866" s="1936">
        <f>'Part IX A-Scoring Criteria'!N312</f>
        <v>0</v>
      </c>
      <c r="O1866" s="1936">
        <f>'Part IX A-Scoring Criteria'!O312</f>
        <v>0</v>
      </c>
      <c r="P1866" s="1936">
        <f>'Part IX A-Scoring Criteria'!P312</f>
        <v>0</v>
      </c>
      <c r="Q1866" s="2030"/>
      <c r="R1866" s="2022"/>
      <c r="S1866" s="2022"/>
      <c r="T1866" s="2022"/>
      <c r="U1866" s="2022"/>
      <c r="V1866" s="2022"/>
      <c r="W1866" s="2022"/>
      <c r="X1866" s="2022"/>
      <c r="Y1866" s="2022"/>
      <c r="Z1866" s="2022"/>
    </row>
    <row r="1867" spans="1:26" ht="15">
      <c r="A1867" s="2022"/>
      <c r="B1867" s="1937" t="s">
        <v>1880</v>
      </c>
      <c r="C1867" s="1629"/>
      <c r="D1867" s="1937"/>
      <c r="E1867" s="1939"/>
      <c r="F1867" s="1939"/>
      <c r="G1867" s="1939"/>
      <c r="H1867" s="1939"/>
      <c r="I1867" s="1939"/>
      <c r="J1867" s="1939"/>
      <c r="K1867" s="1939"/>
      <c r="L1867" s="1939"/>
      <c r="M1867" s="1939"/>
      <c r="N1867" s="2057"/>
      <c r="O1867" s="2028"/>
      <c r="P1867" s="1837"/>
      <c r="Q1867" s="2053"/>
      <c r="R1867" s="2022"/>
      <c r="S1867" s="2022"/>
      <c r="T1867" s="2022"/>
      <c r="U1867" s="2022"/>
      <c r="V1867" s="2022"/>
      <c r="W1867" s="2022"/>
      <c r="X1867" s="2022"/>
      <c r="Y1867" s="2022"/>
      <c r="Z1867" s="2022"/>
    </row>
    <row r="1868" spans="1:26" ht="15.75">
      <c r="A1868" s="1936">
        <f>'Part IX A-Scoring Criteria'!A314</f>
        <v>0</v>
      </c>
      <c r="B1868" s="1936">
        <f>'Part IX A-Scoring Criteria'!B314</f>
        <v>0</v>
      </c>
      <c r="C1868" s="1936">
        <f>'Part IX A-Scoring Criteria'!C314</f>
        <v>0</v>
      </c>
      <c r="D1868" s="1936">
        <f>'Part IX A-Scoring Criteria'!D314</f>
        <v>0</v>
      </c>
      <c r="E1868" s="1936">
        <f>'Part IX A-Scoring Criteria'!E314</f>
        <v>0</v>
      </c>
      <c r="F1868" s="1936">
        <f>'Part IX A-Scoring Criteria'!F314</f>
        <v>0</v>
      </c>
      <c r="G1868" s="1936">
        <f>'Part IX A-Scoring Criteria'!G314</f>
        <v>0</v>
      </c>
      <c r="H1868" s="1936">
        <f>'Part IX A-Scoring Criteria'!H314</f>
        <v>0</v>
      </c>
      <c r="I1868" s="1936">
        <f>'Part IX A-Scoring Criteria'!I314</f>
        <v>0</v>
      </c>
      <c r="J1868" s="1936">
        <f>'Part IX A-Scoring Criteria'!J314</f>
        <v>0</v>
      </c>
      <c r="K1868" s="1936">
        <f>'Part IX A-Scoring Criteria'!K314</f>
        <v>0</v>
      </c>
      <c r="L1868" s="1936">
        <f>'Part IX A-Scoring Criteria'!L314</f>
        <v>0</v>
      </c>
      <c r="M1868" s="1936">
        <f>'Part IX A-Scoring Criteria'!M314</f>
        <v>0</v>
      </c>
      <c r="N1868" s="1936">
        <f>'Part IX A-Scoring Criteria'!N314</f>
        <v>0</v>
      </c>
      <c r="O1868" s="1936">
        <f>'Part IX A-Scoring Criteria'!O314</f>
        <v>0</v>
      </c>
      <c r="P1868" s="1936">
        <f>'Part IX A-Scoring Criteria'!P314</f>
        <v>0</v>
      </c>
      <c r="Q1868" s="2030"/>
      <c r="R1868" s="2022"/>
      <c r="S1868" s="2022"/>
      <c r="T1868" s="2022"/>
      <c r="U1868" s="2022"/>
      <c r="V1868" s="2022"/>
      <c r="W1868" s="2022"/>
      <c r="X1868" s="2022"/>
      <c r="Y1868" s="2022"/>
      <c r="Z1868" s="2022"/>
    </row>
    <row r="1869" spans="1:26" ht="18.75">
      <c r="N1869" s="1824"/>
      <c r="O1869" s="1826"/>
      <c r="P1869" s="1826"/>
      <c r="T1869" s="2089"/>
      <c r="U1869" s="2089"/>
    </row>
    <row r="1870" spans="1:26" ht="18.75">
      <c r="A1870" s="2149" t="s">
        <v>1739</v>
      </c>
      <c r="B1870" s="2024" t="s">
        <v>2845</v>
      </c>
      <c r="C1870" s="2022"/>
      <c r="D1870" s="2058"/>
      <c r="E1870" s="2058"/>
      <c r="F1870" s="2058"/>
      <c r="G1870" s="2022"/>
      <c r="H1870" s="2071" t="s">
        <v>402</v>
      </c>
      <c r="I1870" s="2022"/>
      <c r="J1870" s="2022"/>
      <c r="K1870" s="1830"/>
      <c r="L1870" s="2022"/>
      <c r="M1870" s="1837">
        <v>1</v>
      </c>
      <c r="N1870" s="1828"/>
      <c r="O1870" s="1837">
        <f>'Part IX A-Scoring Criteria'!O316</f>
        <v>1</v>
      </c>
      <c r="P1870" s="1837">
        <f>'Part IX A-Scoring Criteria'!P316</f>
        <v>0</v>
      </c>
      <c r="Q1870" s="1837" t="s">
        <v>443</v>
      </c>
      <c r="R1870" s="2022"/>
      <c r="S1870" s="2022"/>
      <c r="T1870" s="2089"/>
      <c r="U1870" s="2089"/>
      <c r="V1870" s="2022"/>
      <c r="W1870" s="2022"/>
      <c r="X1870" s="2022"/>
      <c r="Y1870" s="2022"/>
      <c r="Z1870" s="2022"/>
    </row>
    <row r="1871" spans="1:26" ht="18.75">
      <c r="A1871" s="1855" t="s">
        <v>1999</v>
      </c>
      <c r="B1871" s="1844" t="s">
        <v>2249</v>
      </c>
      <c r="C1871" s="2040"/>
      <c r="D1871" s="2071"/>
      <c r="E1871" s="2071"/>
      <c r="F1871" s="2018"/>
      <c r="H1871" s="2040"/>
      <c r="I1871" s="2040"/>
      <c r="J1871" s="2040"/>
      <c r="K1871" s="2040"/>
      <c r="L1871" s="1985" t="str">
        <f>IF(OR($O1871=$M1871,$O1871=0,$O1871=""),"","* * Check Score! * *")</f>
        <v/>
      </c>
      <c r="M1871" s="1828">
        <v>1</v>
      </c>
      <c r="N1871" s="1977" t="s">
        <v>1999</v>
      </c>
      <c r="O1871" s="2021">
        <f>'Part IX A-Scoring Criteria'!O317</f>
        <v>1</v>
      </c>
      <c r="P1871" s="2021">
        <f>'Part IX A-Scoring Criteria'!P317</f>
        <v>0</v>
      </c>
      <c r="Q1871" s="2061" t="str">
        <f>IF(OR($O1871=$M1871,$O1871=0,$O1871=""),"","*CHECK!*")</f>
        <v/>
      </c>
      <c r="R1871" s="2105" t="s">
        <v>2724</v>
      </c>
      <c r="S1871" s="2040"/>
      <c r="T1871" s="2089"/>
      <c r="U1871" s="2089"/>
      <c r="V1871" s="2040"/>
      <c r="W1871" s="2040"/>
      <c r="X1871" s="2040"/>
      <c r="Y1871" s="2040"/>
      <c r="Z1871" s="2040"/>
    </row>
    <row r="1872" spans="1:26" ht="18.75">
      <c r="A1872" s="1855"/>
      <c r="B1872" s="1872" t="s">
        <v>2708</v>
      </c>
      <c r="C1872" s="2040"/>
      <c r="D1872" s="2071"/>
      <c r="E1872" s="2071"/>
      <c r="F1872" s="2018"/>
      <c r="H1872" s="2040"/>
      <c r="I1872" s="2040"/>
      <c r="J1872" s="2040"/>
      <c r="K1872" s="1977"/>
      <c r="L1872" s="2040"/>
      <c r="M1872" s="1828"/>
      <c r="N1872" s="1977"/>
      <c r="O1872" s="1942" t="str">
        <f>'Part IX A-Scoring Criteria'!O318</f>
        <v>Yes</v>
      </c>
      <c r="P1872" s="1942">
        <f>'Part IX A-Scoring Criteria'!P318</f>
        <v>0</v>
      </c>
      <c r="Q1872" s="2040"/>
      <c r="R1872" s="1876"/>
      <c r="S1872" s="2040"/>
      <c r="T1872" s="2089"/>
      <c r="U1872" s="2089"/>
      <c r="V1872" s="2040"/>
      <c r="W1872" s="2040"/>
      <c r="X1872" s="2040"/>
      <c r="Y1872" s="2040"/>
      <c r="Z1872" s="2040"/>
    </row>
    <row r="1873" spans="1:26" ht="18.75">
      <c r="A1873" s="1855" t="s">
        <v>2001</v>
      </c>
      <c r="B1873" s="1844" t="s">
        <v>2250</v>
      </c>
      <c r="C1873" s="2022"/>
      <c r="D1873" s="478"/>
      <c r="E1873" s="2022"/>
      <c r="F1873" s="2022"/>
      <c r="G1873" s="2022"/>
      <c r="H1873" s="2022"/>
      <c r="I1873" s="2022"/>
      <c r="J1873" s="2022"/>
      <c r="K1873" s="478"/>
      <c r="L1873" s="1985" t="str">
        <f>IF(OR($O1873=$M1873,$O1873=0,$O1873=""),"","* * Check Score! * *")</f>
        <v/>
      </c>
      <c r="M1873" s="1828">
        <v>1</v>
      </c>
      <c r="N1873" s="1977" t="s">
        <v>2001</v>
      </c>
      <c r="O1873" s="2021">
        <f>'Part IX A-Scoring Criteria'!O319</f>
        <v>0</v>
      </c>
      <c r="P1873" s="2021">
        <f>'Part IX A-Scoring Criteria'!P319</f>
        <v>0</v>
      </c>
      <c r="Q1873" s="2061" t="str">
        <f>IF(OR($O1873=$M1873,$O1873=0,$O1873=""),"","*CHECK!*")</f>
        <v/>
      </c>
      <c r="R1873" s="2105" t="s">
        <v>2724</v>
      </c>
      <c r="S1873" s="2022"/>
      <c r="T1873" s="2089"/>
      <c r="U1873" s="2089"/>
      <c r="V1873" s="2022"/>
      <c r="W1873" s="2022"/>
      <c r="X1873" s="2022"/>
      <c r="Y1873" s="2022"/>
      <c r="Z1873" s="2022"/>
    </row>
    <row r="1874" spans="1:26" ht="18.75">
      <c r="A1874" s="1855"/>
      <c r="B1874" s="1872" t="s">
        <v>4091</v>
      </c>
      <c r="C1874" s="2022"/>
      <c r="D1874" s="478"/>
      <c r="E1874" s="2022"/>
      <c r="F1874" s="2022"/>
      <c r="G1874" s="2022"/>
      <c r="H1874" s="1934"/>
      <c r="I1874" s="2022"/>
      <c r="J1874" s="2022"/>
      <c r="K1874" s="478"/>
      <c r="L1874" s="2040"/>
      <c r="M1874" s="1828"/>
      <c r="N1874" s="1977"/>
      <c r="O1874" s="1942">
        <f>'Part IX A-Scoring Criteria'!O320</f>
        <v>0</v>
      </c>
      <c r="P1874" s="1942">
        <f>'Part IX A-Scoring Criteria'!P320</f>
        <v>0</v>
      </c>
      <c r="Q1874" s="1876"/>
      <c r="R1874" s="1985"/>
      <c r="S1874" s="2022"/>
      <c r="T1874" s="2089"/>
      <c r="U1874" s="2089"/>
      <c r="V1874" s="2022"/>
      <c r="W1874" s="2022"/>
      <c r="X1874" s="2022"/>
      <c r="Y1874" s="2022"/>
      <c r="Z1874" s="2022"/>
    </row>
    <row r="1875" spans="1:26" ht="15">
      <c r="A1875" s="1629"/>
      <c r="B1875" s="1937" t="s">
        <v>1880</v>
      </c>
      <c r="C1875" s="1629"/>
      <c r="D1875" s="1937"/>
      <c r="E1875" s="1939"/>
      <c r="F1875" s="1939"/>
      <c r="G1875" s="1939"/>
      <c r="H1875" s="1939"/>
      <c r="I1875" s="1939"/>
      <c r="J1875" s="1939"/>
      <c r="K1875" s="1939"/>
      <c r="L1875" s="1939"/>
      <c r="M1875" s="1939"/>
      <c r="N1875" s="2057"/>
      <c r="O1875" s="2028"/>
      <c r="P1875" s="1837"/>
      <c r="Q1875" s="2053"/>
      <c r="R1875" s="2022"/>
      <c r="S1875" s="2022"/>
      <c r="T1875" s="2022"/>
      <c r="U1875" s="2022"/>
      <c r="V1875" s="2022"/>
      <c r="W1875" s="2022"/>
      <c r="X1875" s="2022"/>
      <c r="Y1875" s="2022"/>
      <c r="Z1875" s="2022"/>
    </row>
    <row r="1876" spans="1:26" ht="15.75">
      <c r="A1876" s="1936">
        <f>'Part IX A-Scoring Criteria'!A322</f>
        <v>0</v>
      </c>
      <c r="B1876" s="1936">
        <f>'Part IX A-Scoring Criteria'!B322</f>
        <v>0</v>
      </c>
      <c r="C1876" s="1936">
        <f>'Part IX A-Scoring Criteria'!C322</f>
        <v>0</v>
      </c>
      <c r="D1876" s="1936">
        <f>'Part IX A-Scoring Criteria'!D322</f>
        <v>0</v>
      </c>
      <c r="E1876" s="1936">
        <f>'Part IX A-Scoring Criteria'!E322</f>
        <v>0</v>
      </c>
      <c r="F1876" s="1936">
        <f>'Part IX A-Scoring Criteria'!F322</f>
        <v>0</v>
      </c>
      <c r="G1876" s="1936">
        <f>'Part IX A-Scoring Criteria'!G322</f>
        <v>0</v>
      </c>
      <c r="H1876" s="1936">
        <f>'Part IX A-Scoring Criteria'!H322</f>
        <v>0</v>
      </c>
      <c r="I1876" s="1936">
        <f>'Part IX A-Scoring Criteria'!I322</f>
        <v>0</v>
      </c>
      <c r="J1876" s="1936">
        <f>'Part IX A-Scoring Criteria'!J322</f>
        <v>0</v>
      </c>
      <c r="K1876" s="1936">
        <f>'Part IX A-Scoring Criteria'!K322</f>
        <v>0</v>
      </c>
      <c r="L1876" s="1936">
        <f>'Part IX A-Scoring Criteria'!L322</f>
        <v>0</v>
      </c>
      <c r="M1876" s="1936">
        <f>'Part IX A-Scoring Criteria'!M322</f>
        <v>0</v>
      </c>
      <c r="N1876" s="1936">
        <f>'Part IX A-Scoring Criteria'!N322</f>
        <v>0</v>
      </c>
      <c r="O1876" s="1936">
        <f>'Part IX A-Scoring Criteria'!O322</f>
        <v>0</v>
      </c>
      <c r="P1876" s="1936">
        <f>'Part IX A-Scoring Criteria'!P322</f>
        <v>0</v>
      </c>
      <c r="Q1876" s="2030"/>
      <c r="R1876" s="2022"/>
      <c r="S1876" s="2022"/>
      <c r="T1876" s="2022"/>
      <c r="U1876" s="2022"/>
      <c r="V1876" s="2022"/>
      <c r="W1876" s="2022"/>
      <c r="X1876" s="2022"/>
      <c r="Y1876" s="2022"/>
      <c r="Z1876" s="2022"/>
    </row>
    <row r="1877" spans="1:26" ht="15">
      <c r="A1877" s="1629"/>
      <c r="B1877" s="1629"/>
      <c r="C1877" s="1939"/>
      <c r="D1877" s="1939"/>
      <c r="E1877" s="1939"/>
      <c r="F1877" s="1939"/>
      <c r="G1877" s="1939"/>
      <c r="H1877" s="1939"/>
      <c r="I1877" s="1939"/>
      <c r="J1877" s="1939"/>
      <c r="K1877" s="1939"/>
      <c r="L1877" s="1939"/>
      <c r="M1877" s="1939"/>
      <c r="N1877" s="2057"/>
      <c r="O1877" s="2028"/>
      <c r="P1877" s="1837"/>
      <c r="Q1877" s="2022"/>
      <c r="R1877" s="2022"/>
      <c r="S1877" s="2022"/>
      <c r="T1877" s="2022"/>
      <c r="U1877" s="2022"/>
      <c r="V1877" s="2022"/>
      <c r="W1877" s="2022"/>
      <c r="X1877" s="2022"/>
      <c r="Y1877" s="2022"/>
      <c r="Z1877" s="2022"/>
    </row>
    <row r="1878" spans="1:26" ht="15">
      <c r="A1878" s="2149" t="s">
        <v>2800</v>
      </c>
      <c r="B1878" s="2024" t="s">
        <v>4092</v>
      </c>
      <c r="C1878" s="1894"/>
      <c r="D1878" s="1999"/>
      <c r="E1878" s="478"/>
      <c r="F1878" s="2022"/>
      <c r="G1878" s="1156"/>
      <c r="H1878" s="2022"/>
      <c r="I1878" s="2022"/>
      <c r="J1878" s="2022"/>
      <c r="K1878" s="2022"/>
      <c r="L1878" s="2022"/>
      <c r="M1878" s="1837">
        <v>2</v>
      </c>
      <c r="N1878" s="1828"/>
      <c r="O1878" s="1828"/>
      <c r="P1878" s="1837">
        <f>'Part IX A-Scoring Criteria'!P324</f>
        <v>0</v>
      </c>
      <c r="Q1878" s="1837" t="s">
        <v>443</v>
      </c>
      <c r="R1878" s="2022"/>
      <c r="S1878" s="2022"/>
      <c r="T1878" s="2022"/>
      <c r="U1878" s="2022"/>
      <c r="V1878" s="2022"/>
      <c r="W1878" s="2022"/>
      <c r="X1878" s="2022"/>
      <c r="Y1878" s="2022"/>
      <c r="Z1878" s="2022"/>
    </row>
    <row r="1879" spans="1:26" ht="15">
      <c r="A1879" s="1855" t="s">
        <v>2001</v>
      </c>
      <c r="B1879" s="1844" t="s">
        <v>4093</v>
      </c>
      <c r="C1879" s="1894"/>
      <c r="D1879" s="1999"/>
      <c r="E1879" s="478"/>
      <c r="F1879" s="2022"/>
      <c r="G1879" s="1881" t="str">
        <f>'Part IX A-Scoring Criteria'!G325</f>
        <v>In-Fill Housing II, Inc.</v>
      </c>
      <c r="H1879" s="2022"/>
      <c r="I1879" s="2022"/>
      <c r="J1879" s="1872" t="s">
        <v>2703</v>
      </c>
      <c r="K1879" s="2022"/>
      <c r="L1879" s="478"/>
      <c r="M1879" s="2022"/>
      <c r="N1879" s="2022"/>
      <c r="O1879" s="1831" t="str">
        <f>'Part I-Project Information'!$H$96</f>
        <v>Yes</v>
      </c>
      <c r="P1879" s="1837">
        <f>'Part IX A-Scoring Criteria'!P325</f>
        <v>0</v>
      </c>
      <c r="Q1879" s="1837"/>
      <c r="R1879" s="2022"/>
      <c r="S1879" s="2022"/>
      <c r="T1879" s="2022"/>
      <c r="U1879" s="2022"/>
      <c r="V1879" s="2022"/>
      <c r="W1879" s="2022"/>
      <c r="X1879" s="2022"/>
      <c r="Y1879" s="2022"/>
      <c r="Z1879" s="2022"/>
    </row>
    <row r="1880" spans="1:26" ht="15">
      <c r="A1880" s="1855"/>
      <c r="B1880" s="2094" t="s">
        <v>2002</v>
      </c>
      <c r="C1880" s="478" t="s">
        <v>3482</v>
      </c>
      <c r="D1880" s="1629"/>
      <c r="E1880" s="2040"/>
      <c r="F1880" s="2040"/>
      <c r="G1880" s="2040"/>
      <c r="H1880" s="2040"/>
      <c r="I1880" s="2040"/>
      <c r="J1880" s="2040"/>
      <c r="K1880" s="2040"/>
      <c r="L1880" s="2040"/>
      <c r="M1880" s="2040"/>
      <c r="N1880" s="2091" t="s">
        <v>2002</v>
      </c>
      <c r="O1880" s="1942" t="str">
        <f>'Part IX A-Scoring Criteria'!O326</f>
        <v>No</v>
      </c>
      <c r="P1880" s="1942">
        <f>'Part IX A-Scoring Criteria'!P326</f>
        <v>0</v>
      </c>
      <c r="Q1880" s="2040"/>
      <c r="R1880" s="1985"/>
      <c r="S1880" s="2040"/>
      <c r="T1880" s="2040"/>
      <c r="U1880" s="2040"/>
      <c r="V1880" s="2040"/>
      <c r="W1880" s="2040"/>
      <c r="X1880" s="2040"/>
      <c r="Y1880" s="2040"/>
      <c r="Z1880" s="2040"/>
    </row>
    <row r="1881" spans="1:26" ht="15">
      <c r="A1881" s="1855"/>
      <c r="B1881" s="2094" t="s">
        <v>2004</v>
      </c>
      <c r="C1881" s="478" t="s">
        <v>4112</v>
      </c>
      <c r="D1881" s="1629"/>
      <c r="E1881" s="2040"/>
      <c r="F1881" s="2040"/>
      <c r="G1881" s="2040"/>
      <c r="H1881" s="2040"/>
      <c r="I1881" s="2040"/>
      <c r="J1881" s="2040"/>
      <c r="K1881" s="2040"/>
      <c r="L1881" s="2040"/>
      <c r="M1881" s="2040"/>
      <c r="N1881" s="2091" t="s">
        <v>2004</v>
      </c>
      <c r="O1881" s="1942">
        <f>'Part IX A-Scoring Criteria'!O327</f>
        <v>0</v>
      </c>
      <c r="P1881" s="1942">
        <f>'Part IX A-Scoring Criteria'!P327</f>
        <v>0</v>
      </c>
      <c r="Q1881" s="2040"/>
      <c r="R1881" s="1985"/>
      <c r="S1881" s="2040"/>
      <c r="T1881" s="2040"/>
      <c r="U1881" s="2040"/>
      <c r="V1881" s="2040"/>
      <c r="W1881" s="2040"/>
      <c r="X1881" s="2040"/>
      <c r="Y1881" s="2040"/>
      <c r="Z1881" s="2040"/>
    </row>
    <row r="1882" spans="1:26" ht="15">
      <c r="A1882" s="1855"/>
      <c r="B1882" s="2094" t="s">
        <v>2551</v>
      </c>
      <c r="C1882" s="478" t="s">
        <v>4111</v>
      </c>
      <c r="D1882" s="1629"/>
      <c r="E1882" s="2040"/>
      <c r="F1882" s="2040"/>
      <c r="G1882" s="2040"/>
      <c r="H1882" s="2040"/>
      <c r="I1882" s="2040"/>
      <c r="J1882" s="2040"/>
      <c r="K1882" s="2040"/>
      <c r="L1882" s="2040"/>
      <c r="M1882" s="2040"/>
      <c r="N1882" s="2091" t="s">
        <v>2551</v>
      </c>
      <c r="O1882" s="1942">
        <f>'Part IX A-Scoring Criteria'!O328</f>
        <v>0</v>
      </c>
      <c r="P1882" s="1942">
        <f>'Part IX A-Scoring Criteria'!P328</f>
        <v>0</v>
      </c>
      <c r="Q1882" s="2040"/>
      <c r="R1882" s="1985"/>
      <c r="S1882" s="2040"/>
      <c r="T1882" s="2040"/>
      <c r="U1882" s="2040"/>
      <c r="V1882" s="2040"/>
      <c r="W1882" s="2040"/>
      <c r="X1882" s="2040"/>
      <c r="Y1882" s="2040"/>
      <c r="Z1882" s="2040"/>
    </row>
    <row r="1883" spans="1:26" ht="15">
      <c r="A1883" s="1855"/>
      <c r="B1883" s="2094" t="s">
        <v>1236</v>
      </c>
      <c r="C1883" s="478" t="s">
        <v>4113</v>
      </c>
      <c r="D1883" s="1629"/>
      <c r="E1883" s="2040"/>
      <c r="F1883" s="2040"/>
      <c r="G1883" s="2040"/>
      <c r="H1883" s="2040"/>
      <c r="I1883" s="2040"/>
      <c r="J1883" s="2040"/>
      <c r="K1883" s="2040"/>
      <c r="L1883" s="2040"/>
      <c r="M1883" s="2040"/>
      <c r="N1883" s="2091" t="s">
        <v>1236</v>
      </c>
      <c r="O1883" s="1942">
        <f>'Part IX A-Scoring Criteria'!O329</f>
        <v>0</v>
      </c>
      <c r="P1883" s="1942">
        <f>'Part IX A-Scoring Criteria'!P329</f>
        <v>0</v>
      </c>
      <c r="Q1883" s="2040"/>
      <c r="R1883" s="1985"/>
      <c r="S1883" s="2040"/>
      <c r="T1883" s="2040"/>
      <c r="U1883" s="2040"/>
      <c r="V1883" s="2040"/>
      <c r="W1883" s="2040"/>
      <c r="X1883" s="2040"/>
      <c r="Y1883" s="2040"/>
      <c r="Z1883" s="2040"/>
    </row>
    <row r="1884" spans="1:26" ht="15">
      <c r="A1884" s="1855" t="s">
        <v>1999</v>
      </c>
      <c r="B1884" s="1844" t="s">
        <v>4094</v>
      </c>
      <c r="C1884" s="1894"/>
      <c r="D1884" s="1999"/>
      <c r="E1884" s="478"/>
      <c r="F1884" s="2022"/>
      <c r="G1884" s="1881" t="str">
        <f>'Part IX A-Scoring Criteria'!G330</f>
        <v>Macon Housing Authority</v>
      </c>
      <c r="H1884" s="2022"/>
      <c r="I1884" s="1881"/>
      <c r="J1884" s="2022"/>
      <c r="K1884" s="2022"/>
      <c r="L1884" s="1986"/>
      <c r="M1884" s="1986"/>
      <c r="N1884" s="1828"/>
      <c r="O1884" s="2022"/>
      <c r="P1884" s="1837"/>
      <c r="Q1884" s="1837"/>
      <c r="R1884" s="2022"/>
      <c r="S1884" s="2022"/>
      <c r="T1884" s="2022"/>
      <c r="U1884" s="2022"/>
      <c r="V1884" s="2022"/>
      <c r="W1884" s="2022"/>
      <c r="X1884" s="2022"/>
      <c r="Y1884" s="2022"/>
      <c r="Z1884" s="2022"/>
    </row>
    <row r="1885" spans="1:26" ht="15">
      <c r="A1885" s="2149"/>
      <c r="B1885" s="2094" t="s">
        <v>2002</v>
      </c>
      <c r="C1885" s="478" t="s">
        <v>3482</v>
      </c>
      <c r="D1885" s="478"/>
      <c r="E1885" s="478"/>
      <c r="F1885" s="2040"/>
      <c r="G1885" s="2040"/>
      <c r="H1885" s="2040"/>
      <c r="I1885" s="2040"/>
      <c r="J1885" s="2040"/>
      <c r="K1885" s="2040"/>
      <c r="L1885" s="2040"/>
      <c r="M1885" s="1837"/>
      <c r="N1885" s="2091" t="s">
        <v>2002</v>
      </c>
      <c r="O1885" s="1942" t="str">
        <f>'Part IX A-Scoring Criteria'!O331</f>
        <v>Yes</v>
      </c>
      <c r="P1885" s="1942">
        <f>'Part IX A-Scoring Criteria'!P331</f>
        <v>0</v>
      </c>
      <c r="Q1885" s="1837"/>
      <c r="R1885" s="2040"/>
      <c r="S1885" s="2040"/>
      <c r="T1885" s="2040"/>
      <c r="U1885" s="2040"/>
      <c r="V1885" s="2040"/>
      <c r="W1885" s="2040"/>
      <c r="X1885" s="2040"/>
      <c r="Y1885" s="2040"/>
      <c r="Z1885" s="2040"/>
    </row>
    <row r="1886" spans="1:26" ht="15">
      <c r="A1886" s="1855"/>
      <c r="B1886" s="2094" t="s">
        <v>2004</v>
      </c>
      <c r="C1886" s="478" t="s">
        <v>4125</v>
      </c>
      <c r="D1886" s="1629"/>
      <c r="E1886" s="2040"/>
      <c r="F1886" s="2040"/>
      <c r="G1886" s="2040"/>
      <c r="H1886" s="2040"/>
      <c r="I1886" s="2040"/>
      <c r="J1886" s="2040"/>
      <c r="K1886" s="2040"/>
      <c r="L1886" s="2040"/>
      <c r="M1886" s="2040"/>
      <c r="N1886" s="2091" t="s">
        <v>2004</v>
      </c>
      <c r="O1886" s="1942" t="str">
        <f>'Part IX A-Scoring Criteria'!O332</f>
        <v>Yes</v>
      </c>
      <c r="P1886" s="1942">
        <f>'Part IX A-Scoring Criteria'!P332</f>
        <v>0</v>
      </c>
      <c r="Q1886" s="2040"/>
      <c r="R1886" s="1985"/>
      <c r="S1886" s="2040"/>
      <c r="T1886" s="2040"/>
      <c r="U1886" s="2040"/>
      <c r="V1886" s="2040"/>
      <c r="W1886" s="2040"/>
      <c r="X1886" s="2040"/>
      <c r="Y1886" s="2040"/>
      <c r="Z1886" s="2040"/>
    </row>
    <row r="1887" spans="1:26" ht="15">
      <c r="A1887" s="1855"/>
      <c r="B1887" s="2094" t="s">
        <v>2551</v>
      </c>
      <c r="C1887" s="478" t="s">
        <v>4113</v>
      </c>
      <c r="D1887" s="1629"/>
      <c r="E1887" s="2040"/>
      <c r="F1887" s="2040"/>
      <c r="G1887" s="2040"/>
      <c r="H1887" s="2040"/>
      <c r="I1887" s="2040"/>
      <c r="J1887" s="2040"/>
      <c r="K1887" s="2040"/>
      <c r="L1887" s="2040"/>
      <c r="M1887" s="2040"/>
      <c r="N1887" s="2091" t="s">
        <v>2551</v>
      </c>
      <c r="O1887" s="1942" t="str">
        <f>'Part IX A-Scoring Criteria'!O333</f>
        <v>Yes</v>
      </c>
      <c r="P1887" s="1942">
        <f>'Part IX A-Scoring Criteria'!P333</f>
        <v>0</v>
      </c>
      <c r="Q1887" s="2040"/>
      <c r="R1887" s="1985"/>
      <c r="S1887" s="2040"/>
      <c r="T1887" s="2040"/>
      <c r="U1887" s="2040"/>
      <c r="V1887" s="2040"/>
      <c r="W1887" s="2040"/>
      <c r="X1887" s="2040"/>
      <c r="Y1887" s="2040"/>
      <c r="Z1887" s="2040"/>
    </row>
    <row r="1888" spans="1:26" ht="15">
      <c r="A1888" s="2022"/>
      <c r="B1888" s="1937" t="s">
        <v>1880</v>
      </c>
      <c r="C1888" s="1629"/>
      <c r="D1888" s="1937"/>
      <c r="E1888" s="1939"/>
      <c r="F1888" s="1939"/>
      <c r="G1888" s="1939"/>
      <c r="H1888" s="1939"/>
      <c r="I1888" s="1939"/>
      <c r="J1888" s="1939"/>
      <c r="K1888" s="1939"/>
      <c r="L1888" s="1939"/>
      <c r="M1888" s="1939"/>
      <c r="N1888" s="2057"/>
      <c r="O1888" s="2028"/>
      <c r="P1888" s="1837"/>
      <c r="Q1888" s="2053"/>
      <c r="R1888" s="2022"/>
      <c r="S1888" s="2022"/>
      <c r="T1888" s="2022"/>
      <c r="U1888" s="2022"/>
      <c r="V1888" s="2022"/>
      <c r="W1888" s="2022"/>
      <c r="X1888" s="2022"/>
      <c r="Y1888" s="2022"/>
      <c r="Z1888" s="2022"/>
    </row>
    <row r="1889" spans="1:26" ht="15.75">
      <c r="A1889" s="1936">
        <f>'Part IX A-Scoring Criteria'!A335</f>
        <v>0</v>
      </c>
      <c r="B1889" s="1936">
        <f>'Part IX A-Scoring Criteria'!B335</f>
        <v>0</v>
      </c>
      <c r="C1889" s="1936">
        <f>'Part IX A-Scoring Criteria'!C335</f>
        <v>0</v>
      </c>
      <c r="D1889" s="1936">
        <f>'Part IX A-Scoring Criteria'!D335</f>
        <v>0</v>
      </c>
      <c r="E1889" s="1936">
        <f>'Part IX A-Scoring Criteria'!E335</f>
        <v>0</v>
      </c>
      <c r="F1889" s="1936">
        <f>'Part IX A-Scoring Criteria'!F335</f>
        <v>0</v>
      </c>
      <c r="G1889" s="1936">
        <f>'Part IX A-Scoring Criteria'!G335</f>
        <v>0</v>
      </c>
      <c r="H1889" s="1936">
        <f>'Part IX A-Scoring Criteria'!H335</f>
        <v>0</v>
      </c>
      <c r="I1889" s="1936">
        <f>'Part IX A-Scoring Criteria'!I335</f>
        <v>0</v>
      </c>
      <c r="J1889" s="1936">
        <f>'Part IX A-Scoring Criteria'!J335</f>
        <v>0</v>
      </c>
      <c r="K1889" s="1936">
        <f>'Part IX A-Scoring Criteria'!K335</f>
        <v>0</v>
      </c>
      <c r="L1889" s="1936">
        <f>'Part IX A-Scoring Criteria'!L335</f>
        <v>0</v>
      </c>
      <c r="M1889" s="1936">
        <f>'Part IX A-Scoring Criteria'!M335</f>
        <v>0</v>
      </c>
      <c r="N1889" s="1936">
        <f>'Part IX A-Scoring Criteria'!N335</f>
        <v>0</v>
      </c>
      <c r="O1889" s="1936">
        <f>'Part IX A-Scoring Criteria'!O335</f>
        <v>0</v>
      </c>
      <c r="P1889" s="1936">
        <f>'Part IX A-Scoring Criteria'!P335</f>
        <v>0</v>
      </c>
      <c r="Q1889" s="2030"/>
      <c r="R1889" s="2022"/>
      <c r="S1889" s="2022"/>
      <c r="T1889" s="2022"/>
      <c r="U1889" s="2022"/>
      <c r="V1889" s="2022"/>
      <c r="W1889" s="2022"/>
      <c r="X1889" s="2022"/>
      <c r="Y1889" s="2022"/>
      <c r="Z1889" s="2022"/>
    </row>
    <row r="1890" spans="1:26">
      <c r="N1890" s="1824"/>
      <c r="O1890" s="1826"/>
      <c r="P1890" s="1826"/>
    </row>
    <row r="1891" spans="1:26" ht="15">
      <c r="A1891" s="2023" t="s">
        <v>2267</v>
      </c>
      <c r="B1891" s="2024" t="s">
        <v>4095</v>
      </c>
      <c r="C1891" s="2082"/>
      <c r="D1891" s="2082"/>
      <c r="E1891" s="2082"/>
      <c r="F1891" s="2082"/>
      <c r="G1891" s="2082"/>
      <c r="H1891" s="478" t="s">
        <v>3600</v>
      </c>
      <c r="I1891" s="1969" t="str">
        <f>'Part I-Project Information'!$H$100</f>
        <v>Flexible</v>
      </c>
      <c r="J1891" s="1872"/>
      <c r="K1891" s="2082"/>
      <c r="L1891" s="1985" t="str">
        <f>IF(OR($O1891=$M1891,$O1891=0,$O1891=""),"","* * Check Score! * *")</f>
        <v/>
      </c>
      <c r="M1891" s="1837">
        <v>1</v>
      </c>
      <c r="N1891" s="2083"/>
      <c r="O1891" s="1837">
        <f>'Part IX A-Scoring Criteria'!O337</f>
        <v>1</v>
      </c>
      <c r="P1891" s="1837">
        <f>'Part IX A-Scoring Criteria'!P337</f>
        <v>0</v>
      </c>
      <c r="Q1891" s="1837" t="s">
        <v>443</v>
      </c>
      <c r="R1891" s="2105" t="s">
        <v>2724</v>
      </c>
      <c r="S1891" s="2082"/>
      <c r="T1891" s="2082"/>
      <c r="U1891" s="2082"/>
      <c r="V1891" s="2082"/>
      <c r="W1891" s="2082"/>
      <c r="X1891" s="2082"/>
      <c r="Y1891" s="2082"/>
      <c r="Z1891" s="2082"/>
    </row>
    <row r="1892" spans="1:26" ht="15" customHeight="1">
      <c r="A1892" s="1936" t="s">
        <v>4848</v>
      </c>
      <c r="B1892" s="1936"/>
      <c r="C1892" s="1936"/>
      <c r="D1892" s="1936"/>
      <c r="E1892" s="1936"/>
      <c r="F1892" s="1936"/>
      <c r="G1892" s="1936"/>
      <c r="H1892" s="1936"/>
      <c r="I1892" s="1961" t="s">
        <v>4194</v>
      </c>
      <c r="J1892" s="1961"/>
      <c r="K1892" s="1961"/>
      <c r="L1892" s="1961"/>
      <c r="M1892" s="1961"/>
      <c r="N1892" s="1961"/>
      <c r="O1892" s="1961"/>
      <c r="P1892" s="1961"/>
      <c r="Q1892" s="2082"/>
      <c r="R1892" s="1985"/>
      <c r="S1892" s="2082"/>
      <c r="T1892" s="2082"/>
      <c r="U1892" s="2082"/>
      <c r="V1892" s="2082"/>
      <c r="W1892" s="2082"/>
      <c r="X1892" s="2082"/>
      <c r="Y1892" s="2082"/>
      <c r="Z1892" s="2082"/>
    </row>
    <row r="1893" spans="1:26" ht="15">
      <c r="A1893" s="1936"/>
      <c r="B1893" s="1936"/>
      <c r="C1893" s="1936"/>
      <c r="D1893" s="1936"/>
      <c r="E1893" s="1936"/>
      <c r="F1893" s="1936"/>
      <c r="G1893" s="1936"/>
      <c r="H1893" s="1936"/>
      <c r="I1893" s="478" t="str">
        <f>'Part IX A-Scoring Criteria'!I339</f>
        <v>Tindall Fields III</v>
      </c>
      <c r="J1893" s="478">
        <f>'Part IX A-Scoring Criteria'!J339</f>
        <v>0</v>
      </c>
      <c r="K1893" s="478">
        <f>'Part IX A-Scoring Criteria'!K339</f>
        <v>0</v>
      </c>
      <c r="L1893" s="478">
        <f>'Part IX A-Scoring Criteria'!L339</f>
        <v>3</v>
      </c>
      <c r="M1893" s="478">
        <f>'Part IX A-Scoring Criteria'!M339</f>
        <v>0</v>
      </c>
      <c r="N1893" s="478">
        <f>'Part IX A-Scoring Criteria'!N339</f>
        <v>0</v>
      </c>
      <c r="O1893" s="478">
        <f>'Part IX A-Scoring Criteria'!O339</f>
        <v>0</v>
      </c>
      <c r="P1893" s="478">
        <f>'Part IX A-Scoring Criteria'!P339</f>
        <v>0</v>
      </c>
      <c r="Q1893" s="2082"/>
      <c r="R1893" s="1985"/>
      <c r="S1893" s="2082"/>
      <c r="T1893" s="2082"/>
      <c r="U1893" s="2082"/>
      <c r="V1893" s="2082"/>
      <c r="W1893" s="2082"/>
      <c r="X1893" s="2082"/>
      <c r="Y1893" s="2082"/>
      <c r="Z1893" s="2082"/>
    </row>
    <row r="1894" spans="1:26" ht="15">
      <c r="A1894" s="1936"/>
      <c r="B1894" s="1936"/>
      <c r="C1894" s="1936"/>
      <c r="D1894" s="1936"/>
      <c r="E1894" s="1936"/>
      <c r="F1894" s="1936"/>
      <c r="G1894" s="1936"/>
      <c r="H1894" s="1936"/>
      <c r="I1894" s="478">
        <f>'Part IX A-Scoring Criteria'!I340</f>
        <v>2</v>
      </c>
      <c r="J1894" s="478">
        <f>'Part IX A-Scoring Criteria'!J340</f>
        <v>0</v>
      </c>
      <c r="K1894" s="478">
        <f>'Part IX A-Scoring Criteria'!K340</f>
        <v>0</v>
      </c>
      <c r="L1894" s="478">
        <f>'Part IX A-Scoring Criteria'!L340</f>
        <v>4</v>
      </c>
      <c r="M1894" s="478">
        <f>'Part IX A-Scoring Criteria'!M340</f>
        <v>0</v>
      </c>
      <c r="N1894" s="478">
        <f>'Part IX A-Scoring Criteria'!N340</f>
        <v>0</v>
      </c>
      <c r="O1894" s="478">
        <f>'Part IX A-Scoring Criteria'!O340</f>
        <v>0</v>
      </c>
      <c r="P1894" s="478">
        <f>'Part IX A-Scoring Criteria'!P340</f>
        <v>0</v>
      </c>
      <c r="Q1894" s="2082"/>
      <c r="R1894" s="1985"/>
      <c r="S1894" s="2082"/>
      <c r="T1894" s="2082"/>
      <c r="U1894" s="2082"/>
      <c r="V1894" s="2082"/>
      <c r="W1894" s="2082"/>
      <c r="X1894" s="2082"/>
      <c r="Y1894" s="2082"/>
      <c r="Z1894" s="2082"/>
    </row>
    <row r="1895" spans="1:26" ht="15">
      <c r="A1895" s="1629"/>
      <c r="B1895" s="2041" t="s">
        <v>3780</v>
      </c>
      <c r="C1895" s="1629"/>
      <c r="D1895" s="1830"/>
      <c r="E1895" s="1830"/>
      <c r="F1895" s="1830"/>
      <c r="G1895" s="1830"/>
      <c r="H1895" s="478"/>
      <c r="I1895" s="478"/>
      <c r="J1895" s="478"/>
      <c r="K1895" s="478"/>
      <c r="L1895" s="2040"/>
      <c r="M1895" s="1828"/>
      <c r="N1895" s="1828"/>
      <c r="O1895" s="2021"/>
      <c r="P1895" s="1837"/>
      <c r="Q1895" s="2040"/>
      <c r="R1895" s="2040"/>
      <c r="S1895" s="2040"/>
      <c r="T1895" s="2040"/>
      <c r="U1895" s="2040"/>
      <c r="V1895" s="2040"/>
      <c r="W1895" s="2040"/>
      <c r="X1895" s="2040"/>
      <c r="Y1895" s="2040"/>
      <c r="Z1895" s="2040"/>
    </row>
    <row r="1896" spans="1:26" ht="213.75">
      <c r="A1896" s="1936" t="str">
        <f>'Part IX A-Scoring Criteria'!A342</f>
        <v>We hereby request this point per the 2018 QAP provisions.  We are claiming this point for Tindall Fields III only, since this is the only application submitted by the project team in 2018.</v>
      </c>
      <c r="B1896" s="1936">
        <f>'Part IX A-Scoring Criteria'!B342</f>
        <v>0</v>
      </c>
      <c r="C1896" s="1936">
        <f>'Part IX A-Scoring Criteria'!C342</f>
        <v>0</v>
      </c>
      <c r="D1896" s="1936">
        <f>'Part IX A-Scoring Criteria'!D342</f>
        <v>0</v>
      </c>
      <c r="E1896" s="1936">
        <f>'Part IX A-Scoring Criteria'!E342</f>
        <v>0</v>
      </c>
      <c r="F1896" s="1936">
        <f>'Part IX A-Scoring Criteria'!F342</f>
        <v>0</v>
      </c>
      <c r="G1896" s="1936">
        <f>'Part IX A-Scoring Criteria'!G342</f>
        <v>0</v>
      </c>
      <c r="H1896" s="1936">
        <f>'Part IX A-Scoring Criteria'!H342</f>
        <v>0</v>
      </c>
      <c r="I1896" s="1936">
        <f>'Part IX A-Scoring Criteria'!I342</f>
        <v>0</v>
      </c>
      <c r="J1896" s="1936">
        <f>'Part IX A-Scoring Criteria'!J342</f>
        <v>0</v>
      </c>
      <c r="K1896" s="1936">
        <f>'Part IX A-Scoring Criteria'!K342</f>
        <v>0</v>
      </c>
      <c r="L1896" s="1936">
        <f>'Part IX A-Scoring Criteria'!L342</f>
        <v>0</v>
      </c>
      <c r="M1896" s="1936">
        <f>'Part IX A-Scoring Criteria'!M342</f>
        <v>0</v>
      </c>
      <c r="N1896" s="1936">
        <f>'Part IX A-Scoring Criteria'!N342</f>
        <v>0</v>
      </c>
      <c r="O1896" s="1936">
        <f>'Part IX A-Scoring Criteria'!O342</f>
        <v>0</v>
      </c>
      <c r="P1896" s="1936">
        <f>'Part IX A-Scoring Criteria'!P342</f>
        <v>0</v>
      </c>
      <c r="Q1896" s="2030"/>
      <c r="R1896" s="2022"/>
      <c r="S1896" s="2022"/>
      <c r="T1896" s="2022"/>
      <c r="U1896" s="2022"/>
      <c r="V1896" s="2022"/>
      <c r="W1896" s="2022"/>
      <c r="X1896" s="2022"/>
      <c r="Y1896" s="2022"/>
      <c r="Z1896" s="2022"/>
    </row>
    <row r="1897" spans="1:26" ht="15">
      <c r="A1897" s="1629"/>
      <c r="B1897" s="1900" t="s">
        <v>1880</v>
      </c>
      <c r="C1897" s="1629"/>
      <c r="D1897" s="1900"/>
      <c r="E1897" s="1866"/>
      <c r="F1897" s="1866"/>
      <c r="G1897" s="1866"/>
      <c r="H1897" s="1866"/>
      <c r="I1897" s="1866"/>
      <c r="J1897" s="1866"/>
      <c r="K1897" s="1866"/>
      <c r="L1897" s="1866"/>
      <c r="M1897" s="1866"/>
      <c r="N1897" s="1963"/>
      <c r="O1897" s="1842"/>
      <c r="P1897" s="1837"/>
      <c r="Q1897" s="2053"/>
      <c r="R1897" s="2040"/>
      <c r="S1897" s="2040"/>
      <c r="T1897" s="2040"/>
      <c r="U1897" s="2040"/>
      <c r="V1897" s="2040"/>
      <c r="W1897" s="2040"/>
      <c r="X1897" s="2040"/>
      <c r="Y1897" s="2040"/>
      <c r="Z1897" s="2040"/>
    </row>
    <row r="1898" spans="1:26" ht="15.75">
      <c r="A1898" s="1936">
        <f>'Part IX A-Scoring Criteria'!A344</f>
        <v>0</v>
      </c>
      <c r="B1898" s="1936">
        <f>'Part IX A-Scoring Criteria'!B344</f>
        <v>0</v>
      </c>
      <c r="C1898" s="1936">
        <f>'Part IX A-Scoring Criteria'!C344</f>
        <v>0</v>
      </c>
      <c r="D1898" s="1936">
        <f>'Part IX A-Scoring Criteria'!D344</f>
        <v>0</v>
      </c>
      <c r="E1898" s="1936">
        <f>'Part IX A-Scoring Criteria'!E344</f>
        <v>0</v>
      </c>
      <c r="F1898" s="1936">
        <f>'Part IX A-Scoring Criteria'!F344</f>
        <v>0</v>
      </c>
      <c r="G1898" s="1936">
        <f>'Part IX A-Scoring Criteria'!G344</f>
        <v>0</v>
      </c>
      <c r="H1898" s="1936">
        <f>'Part IX A-Scoring Criteria'!H344</f>
        <v>0</v>
      </c>
      <c r="I1898" s="1936">
        <f>'Part IX A-Scoring Criteria'!I344</f>
        <v>0</v>
      </c>
      <c r="J1898" s="1936">
        <f>'Part IX A-Scoring Criteria'!J344</f>
        <v>0</v>
      </c>
      <c r="K1898" s="1936">
        <f>'Part IX A-Scoring Criteria'!K344</f>
        <v>0</v>
      </c>
      <c r="L1898" s="1936">
        <f>'Part IX A-Scoring Criteria'!L344</f>
        <v>0</v>
      </c>
      <c r="M1898" s="1936">
        <f>'Part IX A-Scoring Criteria'!M344</f>
        <v>0</v>
      </c>
      <c r="N1898" s="1936">
        <f>'Part IX A-Scoring Criteria'!N344</f>
        <v>0</v>
      </c>
      <c r="O1898" s="1936">
        <f>'Part IX A-Scoring Criteria'!O344</f>
        <v>0</v>
      </c>
      <c r="P1898" s="1936">
        <f>'Part IX A-Scoring Criteria'!P344</f>
        <v>0</v>
      </c>
      <c r="Q1898" s="2030"/>
      <c r="R1898" s="2022"/>
      <c r="S1898" s="2022"/>
      <c r="T1898" s="2022"/>
      <c r="U1898" s="2022"/>
      <c r="V1898" s="2022"/>
      <c r="W1898" s="2022"/>
      <c r="X1898" s="2022"/>
      <c r="Y1898" s="2022"/>
      <c r="Z1898" s="2022"/>
    </row>
    <row r="1899" spans="1:26" ht="15">
      <c r="A1899" s="1629"/>
      <c r="B1899" s="2022"/>
      <c r="C1899" s="1939"/>
      <c r="D1899" s="1939"/>
      <c r="E1899" s="1939"/>
      <c r="F1899" s="1939"/>
      <c r="G1899" s="1939"/>
      <c r="H1899" s="1939"/>
      <c r="I1899" s="1939"/>
      <c r="J1899" s="1939"/>
      <c r="K1899" s="1939"/>
      <c r="L1899" s="1939"/>
      <c r="M1899" s="1939"/>
      <c r="N1899" s="2057"/>
      <c r="O1899" s="2028"/>
      <c r="P1899" s="1837"/>
      <c r="Q1899" s="2022"/>
      <c r="R1899" s="2022"/>
      <c r="S1899" s="2022"/>
      <c r="T1899" s="2022"/>
      <c r="U1899" s="2022"/>
      <c r="V1899" s="2022"/>
      <c r="W1899" s="2022"/>
      <c r="X1899" s="2022"/>
      <c r="Y1899" s="2022"/>
      <c r="Z1899" s="2022"/>
    </row>
    <row r="1900" spans="1:26" ht="15">
      <c r="A1900" s="2023" t="s">
        <v>4149</v>
      </c>
      <c r="B1900" s="2024" t="s">
        <v>1685</v>
      </c>
      <c r="C1900" s="2022"/>
      <c r="D1900" s="1894"/>
      <c r="E1900" s="1894"/>
      <c r="F1900" s="2022"/>
      <c r="G1900" s="478"/>
      <c r="H1900" s="478"/>
      <c r="I1900" s="478"/>
      <c r="J1900" s="2022"/>
      <c r="K1900" s="1934"/>
      <c r="L1900" s="1985"/>
      <c r="M1900" s="1837">
        <v>2</v>
      </c>
      <c r="N1900" s="2083"/>
      <c r="O1900" s="2021">
        <f>'Part IX A-Scoring Criteria'!O346</f>
        <v>0</v>
      </c>
      <c r="P1900" s="2021">
        <f>'Part IX A-Scoring Criteria'!P346</f>
        <v>0</v>
      </c>
      <c r="Q1900" s="1837" t="s">
        <v>443</v>
      </c>
      <c r="R1900" s="2022"/>
      <c r="S1900" s="2022"/>
      <c r="T1900" s="2022"/>
      <c r="U1900" s="2022"/>
      <c r="V1900" s="2022"/>
      <c r="W1900" s="2022"/>
      <c r="X1900" s="2022"/>
      <c r="Y1900" s="2022"/>
      <c r="Z1900" s="2022"/>
    </row>
    <row r="1901" spans="1:26" ht="15.75">
      <c r="A1901" s="1855" t="s">
        <v>1999</v>
      </c>
      <c r="B1901" s="1969" t="s">
        <v>3640</v>
      </c>
      <c r="C1901" s="2022"/>
      <c r="D1901" s="1894"/>
      <c r="E1901" s="1894"/>
      <c r="F1901" s="2022"/>
      <c r="G1901" s="478"/>
      <c r="H1901" s="2030"/>
      <c r="I1901" s="2022"/>
      <c r="J1901" s="2022"/>
      <c r="K1901" s="2022"/>
      <c r="L1901" s="1985" t="str">
        <f>IF(OR($O1901=$M1901,$O1901=0,$O1901=""),"","* * Check Score! * *")</f>
        <v/>
      </c>
      <c r="M1901" s="1828">
        <v>1</v>
      </c>
      <c r="N1901" s="2083" t="str">
        <f>IF(OR($O1901=$M1901,$O1901=0,$O1901=""),"","***")</f>
        <v/>
      </c>
      <c r="O1901" s="2021">
        <f>'Part IX A-Scoring Criteria'!O347</f>
        <v>0</v>
      </c>
      <c r="P1901" s="2021">
        <f>'Part IX A-Scoring Criteria'!P347</f>
        <v>0</v>
      </c>
      <c r="Q1901" s="2061" t="str">
        <f>IF(OR($O1901=$M1901,$O1901=0,$O1901=""),"","*CHECK!*")</f>
        <v/>
      </c>
      <c r="R1901" s="2105" t="s">
        <v>2724</v>
      </c>
      <c r="S1901" s="2022"/>
      <c r="T1901" s="2022"/>
      <c r="U1901" s="2022"/>
      <c r="V1901" s="2022"/>
      <c r="W1901" s="2022"/>
      <c r="X1901" s="2022"/>
      <c r="Y1901" s="2022"/>
      <c r="Z1901" s="2022"/>
    </row>
    <row r="1902" spans="1:26" ht="15">
      <c r="A1902" s="2022"/>
      <c r="B1902" s="1872" t="s">
        <v>4099</v>
      </c>
      <c r="C1902" s="2022"/>
      <c r="D1902" s="2040"/>
      <c r="E1902" s="1894"/>
      <c r="F1902" s="478"/>
      <c r="G1902" s="478"/>
      <c r="H1902" s="478" t="str">
        <f>'Part IX A-Scoring Criteria'!H348</f>
        <v>&lt; Select applicable GICH &gt;</v>
      </c>
      <c r="I1902" s="478">
        <f>'Part IX A-Scoring Criteria'!I348</f>
        <v>0</v>
      </c>
      <c r="J1902" s="478">
        <f>'Part IX A-Scoring Criteria'!J348</f>
        <v>0</v>
      </c>
      <c r="K1902" s="2022"/>
      <c r="L1902" s="2022"/>
      <c r="M1902" s="2022"/>
      <c r="N1902" s="1977" t="s">
        <v>1999</v>
      </c>
      <c r="O1902" s="1986" t="s">
        <v>2527</v>
      </c>
      <c r="P1902" s="1986" t="s">
        <v>2527</v>
      </c>
      <c r="Q1902" s="2022"/>
      <c r="R1902" s="2022"/>
      <c r="S1902" s="2022"/>
      <c r="T1902" s="2022"/>
      <c r="U1902" s="2022"/>
      <c r="V1902" s="2022"/>
      <c r="W1902" s="2022"/>
      <c r="X1902" s="2022"/>
      <c r="Y1902" s="2022"/>
      <c r="Z1902" s="2022"/>
    </row>
    <row r="1903" spans="1:26">
      <c r="A1903" s="478"/>
      <c r="B1903" s="2091" t="s">
        <v>2002</v>
      </c>
      <c r="C1903" s="1872" t="s">
        <v>4096</v>
      </c>
      <c r="D1903" s="478"/>
      <c r="E1903" s="478"/>
      <c r="F1903" s="478"/>
      <c r="G1903" s="478"/>
      <c r="H1903" s="478"/>
      <c r="I1903" s="478"/>
      <c r="J1903" s="478"/>
      <c r="K1903" s="478"/>
      <c r="L1903" s="478"/>
      <c r="M1903" s="478"/>
      <c r="N1903" s="2091" t="s">
        <v>2002</v>
      </c>
      <c r="O1903" s="1942">
        <f>'Part IX A-Scoring Criteria'!O349</f>
        <v>0</v>
      </c>
      <c r="P1903" s="1942">
        <f>'Part IX A-Scoring Criteria'!P349</f>
        <v>0</v>
      </c>
      <c r="Q1903" s="478"/>
      <c r="R1903" s="478"/>
      <c r="S1903" s="478"/>
      <c r="T1903" s="478"/>
      <c r="U1903" s="478"/>
      <c r="V1903" s="478"/>
      <c r="W1903" s="478"/>
      <c r="X1903" s="478"/>
      <c r="Y1903" s="478"/>
      <c r="Z1903" s="478"/>
    </row>
    <row r="1904" spans="1:26">
      <c r="A1904" s="478"/>
      <c r="B1904" s="2091" t="s">
        <v>2004</v>
      </c>
      <c r="C1904" s="1872" t="s">
        <v>4097</v>
      </c>
      <c r="D1904" s="478"/>
      <c r="E1904" s="478"/>
      <c r="F1904" s="478"/>
      <c r="G1904" s="478"/>
      <c r="H1904" s="478"/>
      <c r="I1904" s="478"/>
      <c r="J1904" s="478"/>
      <c r="K1904" s="478"/>
      <c r="L1904" s="478"/>
      <c r="M1904" s="478"/>
      <c r="N1904" s="2091" t="s">
        <v>2004</v>
      </c>
      <c r="O1904" s="1942">
        <f>'Part IX A-Scoring Criteria'!O350</f>
        <v>0</v>
      </c>
      <c r="P1904" s="1942">
        <f>'Part IX A-Scoring Criteria'!P350</f>
        <v>0</v>
      </c>
      <c r="Q1904" s="478"/>
      <c r="R1904" s="478"/>
      <c r="S1904" s="478"/>
      <c r="T1904" s="478"/>
      <c r="U1904" s="478"/>
      <c r="V1904" s="478"/>
      <c r="W1904" s="478"/>
      <c r="X1904" s="478"/>
      <c r="Y1904" s="478"/>
      <c r="Z1904" s="478"/>
    </row>
    <row r="1905" spans="1:26">
      <c r="A1905" s="478"/>
      <c r="B1905" s="2091" t="s">
        <v>2551</v>
      </c>
      <c r="C1905" s="1872" t="s">
        <v>4098</v>
      </c>
      <c r="D1905" s="478"/>
      <c r="E1905" s="478"/>
      <c r="F1905" s="478"/>
      <c r="G1905" s="478"/>
      <c r="H1905" s="478"/>
      <c r="I1905" s="478"/>
      <c r="J1905" s="478"/>
      <c r="K1905" s="478"/>
      <c r="L1905" s="478"/>
      <c r="M1905" s="478"/>
      <c r="N1905" s="2091" t="s">
        <v>2551</v>
      </c>
      <c r="O1905" s="1942">
        <f>'Part IX A-Scoring Criteria'!O351</f>
        <v>0</v>
      </c>
      <c r="P1905" s="1942">
        <f>'Part IX A-Scoring Criteria'!P351</f>
        <v>0</v>
      </c>
      <c r="Q1905" s="478"/>
      <c r="R1905" s="478"/>
      <c r="S1905" s="478"/>
      <c r="T1905" s="478"/>
      <c r="U1905" s="478"/>
      <c r="V1905" s="478"/>
      <c r="W1905" s="478"/>
      <c r="X1905" s="478"/>
      <c r="Y1905" s="478"/>
      <c r="Z1905" s="478"/>
    </row>
    <row r="1906" spans="1:26">
      <c r="A1906" s="1156"/>
      <c r="B1906" s="2045" t="s">
        <v>3641</v>
      </c>
      <c r="C1906" s="1156"/>
      <c r="D1906" s="478"/>
      <c r="E1906" s="478"/>
      <c r="F1906" s="478"/>
      <c r="G1906" s="478"/>
      <c r="H1906" s="478"/>
      <c r="I1906" s="478"/>
      <c r="J1906" s="478"/>
      <c r="K1906" s="478"/>
      <c r="L1906" s="478"/>
      <c r="M1906" s="478"/>
      <c r="N1906" s="1977"/>
      <c r="O1906" s="1977"/>
      <c r="P1906" s="1977"/>
      <c r="Q1906" s="1156"/>
      <c r="R1906" s="1156"/>
      <c r="S1906" s="1156"/>
      <c r="T1906" s="1156"/>
      <c r="U1906" s="1156"/>
      <c r="V1906" s="1156"/>
      <c r="W1906" s="1156"/>
      <c r="X1906" s="1156"/>
      <c r="Y1906" s="1156"/>
      <c r="Z1906" s="1156"/>
    </row>
    <row r="1907" spans="1:26">
      <c r="A1907" s="1156"/>
      <c r="B1907" s="2045"/>
      <c r="C1907" s="1156"/>
      <c r="D1907" s="478"/>
      <c r="E1907" s="478"/>
      <c r="F1907" s="478"/>
      <c r="G1907" s="478"/>
      <c r="H1907" s="478"/>
      <c r="I1907" s="478"/>
      <c r="J1907" s="478"/>
      <c r="K1907" s="478"/>
      <c r="L1907" s="478"/>
      <c r="M1907" s="478"/>
      <c r="N1907" s="1977"/>
      <c r="O1907" s="1977"/>
      <c r="P1907" s="1977"/>
      <c r="Q1907" s="1156"/>
      <c r="R1907" s="1156"/>
      <c r="S1907" s="1156"/>
      <c r="T1907" s="1156"/>
      <c r="U1907" s="1156"/>
      <c r="V1907" s="1156"/>
      <c r="W1907" s="1156"/>
      <c r="X1907" s="1156"/>
      <c r="Y1907" s="1156"/>
      <c r="Z1907" s="1156"/>
    </row>
    <row r="1908" spans="1:26" ht="13.5">
      <c r="A1908" s="1855" t="s">
        <v>2001</v>
      </c>
      <c r="B1908" s="1844" t="s">
        <v>2815</v>
      </c>
      <c r="D1908" s="1629"/>
      <c r="H1908" s="2150" t="s">
        <v>3508</v>
      </c>
      <c r="I1908" s="2150"/>
      <c r="J1908" s="2150"/>
      <c r="K1908" s="2150"/>
      <c r="L1908" s="2150"/>
      <c r="M1908" s="1831">
        <v>1</v>
      </c>
      <c r="N1908" s="1977" t="s">
        <v>2001</v>
      </c>
      <c r="O1908" s="2021">
        <f>'Part IX A-Scoring Criteria'!O354</f>
        <v>0</v>
      </c>
      <c r="P1908" s="2021">
        <f>'Part IX A-Scoring Criteria'!P354</f>
        <v>0</v>
      </c>
      <c r="Q1908" s="2061" t="str">
        <f>IF(OR($O1908=$M1908,$O1908=0,$O1908=""),"","*CHECK!*")</f>
        <v/>
      </c>
      <c r="R1908" s="2105" t="s">
        <v>2724</v>
      </c>
    </row>
    <row r="1909" spans="1:26">
      <c r="A1909" s="1629"/>
      <c r="B1909" s="478" t="s">
        <v>2816</v>
      </c>
      <c r="C1909" s="1629"/>
      <c r="D1909" s="1629"/>
      <c r="E1909" s="1629"/>
      <c r="F1909" s="1629"/>
      <c r="G1909" s="1629"/>
      <c r="H1909" s="1629"/>
      <c r="I1909" s="1629"/>
      <c r="J1909" s="1629"/>
      <c r="K1909" s="1629"/>
      <c r="L1909" s="1629"/>
      <c r="M1909" s="1629"/>
      <c r="N1909" s="1629"/>
      <c r="O1909" s="1942">
        <f>'Part IX A-Scoring Criteria'!O355</f>
        <v>0</v>
      </c>
      <c r="P1909" s="1942">
        <f>'Part IX A-Scoring Criteria'!P355</f>
        <v>0</v>
      </c>
      <c r="Q1909" s="1631"/>
      <c r="R1909" s="1629"/>
      <c r="S1909" s="1629"/>
      <c r="T1909" s="1629"/>
      <c r="U1909" s="1629"/>
      <c r="V1909" s="1629"/>
      <c r="W1909" s="1629"/>
      <c r="X1909" s="1629"/>
      <c r="Y1909" s="1629"/>
      <c r="Z1909" s="1629"/>
    </row>
    <row r="1910" spans="1:26">
      <c r="A1910" s="1975"/>
      <c r="B1910" s="478" t="s">
        <v>3643</v>
      </c>
      <c r="C1910" s="478" t="str">
        <f>'Part I-Project Information'!$F$38</f>
        <v>Macon</v>
      </c>
      <c r="D1910" s="1629"/>
      <c r="E1910" s="478" t="s">
        <v>3507</v>
      </c>
      <c r="F1910" s="478" t="str">
        <f>'Part I-Project Information'!$J$39</f>
        <v>Bibb</v>
      </c>
      <c r="G1910" s="1629"/>
      <c r="H1910" s="1872" t="s">
        <v>455</v>
      </c>
      <c r="I1910" s="1872" t="str">
        <f>'Part I-Project Information'!$N$39</f>
        <v>Yes</v>
      </c>
      <c r="J1910" s="1629"/>
      <c r="K1910" s="1872" t="s">
        <v>3642</v>
      </c>
      <c r="L1910" s="2120" t="str">
        <f>'Part I-Project Information'!$O$38</f>
        <v>105</v>
      </c>
      <c r="M1910" s="2120"/>
      <c r="N1910" s="2120"/>
      <c r="O1910" s="2120"/>
      <c r="P1910" s="2120"/>
      <c r="Q1910" s="1629"/>
      <c r="R1910" s="1629"/>
      <c r="S1910" s="1629"/>
      <c r="T1910" s="1629"/>
      <c r="U1910" s="1629"/>
      <c r="V1910" s="1629"/>
      <c r="W1910" s="1629"/>
      <c r="X1910" s="1629"/>
      <c r="Y1910" s="1629"/>
      <c r="Z1910" s="1629"/>
    </row>
    <row r="1911" spans="1:26" ht="15">
      <c r="A1911" s="1629"/>
      <c r="B1911" s="2041" t="s">
        <v>3780</v>
      </c>
      <c r="C1911" s="1629"/>
      <c r="D1911" s="1830"/>
      <c r="E1911" s="1830"/>
      <c r="F1911" s="1830"/>
      <c r="G1911" s="1830"/>
      <c r="H1911" s="478"/>
      <c r="I1911" s="478"/>
      <c r="J1911" s="478"/>
      <c r="K1911" s="478"/>
      <c r="L1911" s="2040"/>
      <c r="M1911" s="1828"/>
      <c r="N1911" s="1828"/>
      <c r="O1911" s="2021"/>
      <c r="P1911" s="1837"/>
      <c r="Q1911" s="2040"/>
      <c r="R1911" s="2040"/>
      <c r="S1911" s="2040"/>
      <c r="T1911" s="2040"/>
      <c r="U1911" s="2040"/>
      <c r="V1911" s="2040"/>
      <c r="W1911" s="2040"/>
      <c r="X1911" s="2040"/>
      <c r="Y1911" s="2040"/>
      <c r="Z1911" s="2040"/>
    </row>
    <row r="1912" spans="1:26" ht="22.5">
      <c r="A1912" s="1936" t="str">
        <f>'Part IX A-Scoring Criteria'!A358</f>
        <v>This Tab is N/A.</v>
      </c>
      <c r="B1912" s="1936">
        <f>'Part IX A-Scoring Criteria'!B358</f>
        <v>0</v>
      </c>
      <c r="C1912" s="1936">
        <f>'Part IX A-Scoring Criteria'!C358</f>
        <v>0</v>
      </c>
      <c r="D1912" s="1936">
        <f>'Part IX A-Scoring Criteria'!D358</f>
        <v>0</v>
      </c>
      <c r="E1912" s="1936">
        <f>'Part IX A-Scoring Criteria'!E358</f>
        <v>0</v>
      </c>
      <c r="F1912" s="1936">
        <f>'Part IX A-Scoring Criteria'!F358</f>
        <v>0</v>
      </c>
      <c r="G1912" s="1936">
        <f>'Part IX A-Scoring Criteria'!G358</f>
        <v>0</v>
      </c>
      <c r="H1912" s="1936">
        <f>'Part IX A-Scoring Criteria'!H358</f>
        <v>0</v>
      </c>
      <c r="I1912" s="1936">
        <f>'Part IX A-Scoring Criteria'!I358</f>
        <v>0</v>
      </c>
      <c r="J1912" s="1936">
        <f>'Part IX A-Scoring Criteria'!J358</f>
        <v>0</v>
      </c>
      <c r="K1912" s="1936">
        <f>'Part IX A-Scoring Criteria'!K358</f>
        <v>0</v>
      </c>
      <c r="L1912" s="1936">
        <f>'Part IX A-Scoring Criteria'!L358</f>
        <v>0</v>
      </c>
      <c r="M1912" s="1936">
        <f>'Part IX A-Scoring Criteria'!M358</f>
        <v>0</v>
      </c>
      <c r="N1912" s="1936">
        <f>'Part IX A-Scoring Criteria'!N358</f>
        <v>0</v>
      </c>
      <c r="O1912" s="1936">
        <f>'Part IX A-Scoring Criteria'!O358</f>
        <v>0</v>
      </c>
      <c r="P1912" s="1936">
        <f>'Part IX A-Scoring Criteria'!P358</f>
        <v>0</v>
      </c>
      <c r="Q1912" s="2030"/>
      <c r="R1912" s="2022"/>
      <c r="S1912" s="2022"/>
      <c r="T1912" s="2022"/>
      <c r="U1912" s="2022"/>
      <c r="V1912" s="2022"/>
      <c r="W1912" s="2022"/>
      <c r="X1912" s="2022"/>
      <c r="Y1912" s="2022"/>
      <c r="Z1912" s="2022"/>
    </row>
    <row r="1913" spans="1:26" ht="15">
      <c r="A1913" s="1629"/>
      <c r="B1913" s="1900" t="s">
        <v>1880</v>
      </c>
      <c r="C1913" s="1629"/>
      <c r="D1913" s="1900"/>
      <c r="E1913" s="1866"/>
      <c r="F1913" s="1866"/>
      <c r="G1913" s="1866"/>
      <c r="H1913" s="1866"/>
      <c r="I1913" s="1866"/>
      <c r="J1913" s="1866"/>
      <c r="K1913" s="1866"/>
      <c r="L1913" s="1866"/>
      <c r="M1913" s="1866"/>
      <c r="N1913" s="1963"/>
      <c r="O1913" s="1842"/>
      <c r="P1913" s="1837"/>
      <c r="Q1913" s="2053"/>
      <c r="R1913" s="2040"/>
      <c r="S1913" s="2040"/>
      <c r="T1913" s="2040"/>
      <c r="U1913" s="2040"/>
      <c r="V1913" s="2040"/>
      <c r="W1913" s="2040"/>
      <c r="X1913" s="2040"/>
      <c r="Y1913" s="2040"/>
      <c r="Z1913" s="2040"/>
    </row>
    <row r="1914" spans="1:26" ht="15.75">
      <c r="A1914" s="1936">
        <f>'Part IX A-Scoring Criteria'!A360</f>
        <v>0</v>
      </c>
      <c r="B1914" s="1936">
        <f>'Part IX A-Scoring Criteria'!B360</f>
        <v>0</v>
      </c>
      <c r="C1914" s="1936">
        <f>'Part IX A-Scoring Criteria'!C360</f>
        <v>0</v>
      </c>
      <c r="D1914" s="1936">
        <f>'Part IX A-Scoring Criteria'!D360</f>
        <v>0</v>
      </c>
      <c r="E1914" s="1936">
        <f>'Part IX A-Scoring Criteria'!E360</f>
        <v>0</v>
      </c>
      <c r="F1914" s="1936">
        <f>'Part IX A-Scoring Criteria'!F360</f>
        <v>0</v>
      </c>
      <c r="G1914" s="1936">
        <f>'Part IX A-Scoring Criteria'!G360</f>
        <v>0</v>
      </c>
      <c r="H1914" s="1936">
        <f>'Part IX A-Scoring Criteria'!H360</f>
        <v>0</v>
      </c>
      <c r="I1914" s="1936">
        <f>'Part IX A-Scoring Criteria'!I360</f>
        <v>0</v>
      </c>
      <c r="J1914" s="1936">
        <f>'Part IX A-Scoring Criteria'!J360</f>
        <v>0</v>
      </c>
      <c r="K1914" s="1936">
        <f>'Part IX A-Scoring Criteria'!K360</f>
        <v>0</v>
      </c>
      <c r="L1914" s="1936">
        <f>'Part IX A-Scoring Criteria'!L360</f>
        <v>0</v>
      </c>
      <c r="M1914" s="1936">
        <f>'Part IX A-Scoring Criteria'!M360</f>
        <v>0</v>
      </c>
      <c r="N1914" s="1936">
        <f>'Part IX A-Scoring Criteria'!N360</f>
        <v>0</v>
      </c>
      <c r="O1914" s="1936">
        <f>'Part IX A-Scoring Criteria'!O360</f>
        <v>0</v>
      </c>
      <c r="P1914" s="1936">
        <f>'Part IX A-Scoring Criteria'!P360</f>
        <v>0</v>
      </c>
      <c r="Q1914" s="2030"/>
      <c r="R1914" s="2022"/>
      <c r="S1914" s="2022"/>
      <c r="T1914" s="2022"/>
      <c r="U1914" s="2022"/>
      <c r="V1914" s="2022"/>
      <c r="W1914" s="2022"/>
      <c r="X1914" s="2022"/>
      <c r="Y1914" s="2022"/>
      <c r="Z1914" s="2022"/>
    </row>
    <row r="1915" spans="1:26">
      <c r="N1915" s="1824"/>
      <c r="O1915" s="1826"/>
      <c r="P1915" s="1826"/>
    </row>
    <row r="1916" spans="1:26" ht="15">
      <c r="A1916" s="2023" t="s">
        <v>4150</v>
      </c>
      <c r="B1916" s="2024" t="s">
        <v>4102</v>
      </c>
      <c r="C1916" s="2022"/>
      <c r="D1916" s="1894"/>
      <c r="E1916" s="1894"/>
      <c r="F1916" s="478"/>
      <c r="G1916" s="478"/>
      <c r="H1916" s="1844" t="s">
        <v>2812</v>
      </c>
      <c r="I1916" s="2022"/>
      <c r="J1916" s="1844" t="str">
        <f>'Part I-Project Information'!$H$100</f>
        <v>Flexible</v>
      </c>
      <c r="K1916" s="2022"/>
      <c r="L1916" s="1985" t="str">
        <f>IF(OR($O1916=$M1916,$O1916=$M1923,$O1916=$M1941,$O1916=0,$O1916=""),"","* * Check Score! * *")</f>
        <v/>
      </c>
      <c r="M1916" s="2021">
        <v>4</v>
      </c>
      <c r="N1916" s="1828"/>
      <c r="O1916" s="2021">
        <f>'Part IX A-Scoring Criteria'!O362</f>
        <v>4</v>
      </c>
      <c r="P1916" s="2021">
        <f>'Part IX A-Scoring Criteria'!P362</f>
        <v>0</v>
      </c>
      <c r="Q1916" s="1837" t="s">
        <v>443</v>
      </c>
      <c r="R1916" s="2022"/>
      <c r="S1916" s="2022"/>
      <c r="T1916" s="2022"/>
      <c r="U1916" s="2022"/>
      <c r="V1916" s="2022"/>
      <c r="W1916" s="2022"/>
      <c r="X1916" s="2022"/>
      <c r="Y1916" s="2022"/>
      <c r="Z1916" s="2022"/>
    </row>
    <row r="1917" spans="1:26" ht="15">
      <c r="A1917" s="1629"/>
      <c r="B1917" s="1969" t="s">
        <v>2901</v>
      </c>
      <c r="C1917" s="2022"/>
      <c r="D1917" s="2022"/>
      <c r="E1917" s="1894"/>
      <c r="F1917" s="478"/>
      <c r="G1917" s="478"/>
      <c r="H1917" s="478"/>
      <c r="I1917" s="478"/>
      <c r="J1917" s="2022"/>
      <c r="K1917" s="1934"/>
      <c r="L1917" s="2151"/>
      <c r="M1917" s="2022"/>
      <c r="N1917" s="2022"/>
      <c r="O1917" s="1934" t="s">
        <v>2527</v>
      </c>
      <c r="P1917" s="1934" t="s">
        <v>2527</v>
      </c>
      <c r="Q1917" s="2022"/>
      <c r="R1917" s="2022"/>
      <c r="S1917" s="2022"/>
      <c r="T1917" s="2022"/>
      <c r="U1917" s="2022"/>
      <c r="V1917" s="2022"/>
      <c r="W1917" s="2022"/>
      <c r="X1917" s="2022"/>
      <c r="Y1917" s="2022"/>
      <c r="Z1917" s="2022"/>
    </row>
    <row r="1918" spans="1:26" ht="15">
      <c r="A1918" s="1156"/>
      <c r="B1918" s="1977" t="s">
        <v>2451</v>
      </c>
      <c r="C1918" s="1156" t="s">
        <v>2846</v>
      </c>
      <c r="D1918" s="1156"/>
      <c r="E1918" s="1894"/>
      <c r="F1918" s="478"/>
      <c r="G1918" s="478"/>
      <c r="H1918" s="478"/>
      <c r="I1918" s="478"/>
      <c r="J1918" s="2022"/>
      <c r="K1918" s="1934"/>
      <c r="L1918" s="2011" t="str">
        <f>IF(OR(O1918="No",O1918="",O1919="No",O1919="",O1920="No",O1920="",O1921="No",O1921=""),"Unmet criterion results in no points!","")</f>
        <v/>
      </c>
      <c r="M1918" s="2011"/>
      <c r="N1918" s="1977" t="s">
        <v>2451</v>
      </c>
      <c r="O1918" s="1942" t="str">
        <f>'Part IX A-Scoring Criteria'!O364</f>
        <v>Yes</v>
      </c>
      <c r="P1918" s="1942">
        <f>'Part IX A-Scoring Criteria'!P364</f>
        <v>0</v>
      </c>
      <c r="Q1918" s="1156"/>
      <c r="R1918" s="2011" t="str">
        <f>IF(OR(P1918="No",P1918="",P1919="No",P1919="",P1920="No",P1920="",P1921="No",P1921=""),"Unmet criterion results in no points!","")</f>
        <v/>
      </c>
      <c r="S1918" s="2011" t="e">
        <f>IF(OR(V1918="No",V1918="",V1919="No",V1919="",V1920="No",V1920="",V1921="No",V1921="",#REF!="No",#REF!="",#REF!="No",#REF!=""),"Unmet criterion results in no points!","")</f>
        <v>#REF!</v>
      </c>
      <c r="T1918" s="1156"/>
      <c r="U1918" s="1156"/>
      <c r="V1918" s="1156"/>
      <c r="W1918" s="1156"/>
      <c r="X1918" s="1156"/>
      <c r="Y1918" s="1156"/>
      <c r="Z1918" s="1156"/>
    </row>
    <row r="1919" spans="1:26">
      <c r="A1919" s="1156"/>
      <c r="B1919" s="1987" t="s">
        <v>2452</v>
      </c>
      <c r="C1919" s="1156" t="s">
        <v>3837</v>
      </c>
      <c r="D1919" s="1156"/>
      <c r="E1919" s="1156"/>
      <c r="F1919" s="1156"/>
      <c r="G1919" s="1156"/>
      <c r="H1919" s="1156"/>
      <c r="I1919" s="1156"/>
      <c r="J1919" s="1156"/>
      <c r="K1919" s="1156"/>
      <c r="L1919" s="2011"/>
      <c r="M1919" s="2011"/>
      <c r="N1919" s="1987" t="s">
        <v>2452</v>
      </c>
      <c r="O1919" s="1942" t="str">
        <f>'Part IX A-Scoring Criteria'!O365</f>
        <v>Yes</v>
      </c>
      <c r="P1919" s="1942">
        <f>'Part IX A-Scoring Criteria'!P365</f>
        <v>0</v>
      </c>
      <c r="Q1919" s="1156"/>
      <c r="R1919" s="2011"/>
      <c r="S1919" s="2011"/>
      <c r="T1919" s="1156"/>
      <c r="U1919" s="1156"/>
      <c r="V1919" s="1156"/>
      <c r="W1919" s="1156"/>
      <c r="X1919" s="1156"/>
      <c r="Y1919" s="1156"/>
      <c r="Z1919" s="1156"/>
    </row>
    <row r="1920" spans="1:26">
      <c r="A1920" s="1156"/>
      <c r="B1920" s="1977" t="s">
        <v>2453</v>
      </c>
      <c r="C1920" s="1156" t="s">
        <v>3836</v>
      </c>
      <c r="D1920" s="1156"/>
      <c r="E1920" s="1156"/>
      <c r="F1920" s="1156"/>
      <c r="G1920" s="1156"/>
      <c r="H1920" s="1156"/>
      <c r="I1920" s="1156"/>
      <c r="J1920" s="1156"/>
      <c r="K1920" s="1156"/>
      <c r="L1920" s="2011"/>
      <c r="M1920" s="2011"/>
      <c r="N1920" s="1977" t="s">
        <v>2453</v>
      </c>
      <c r="O1920" s="1942" t="str">
        <f>'Part IX A-Scoring Criteria'!O366</f>
        <v>Yes</v>
      </c>
      <c r="P1920" s="1942">
        <f>'Part IX A-Scoring Criteria'!P366</f>
        <v>0</v>
      </c>
      <c r="Q1920" s="1156"/>
      <c r="R1920" s="2011"/>
      <c r="S1920" s="2011"/>
      <c r="T1920" s="1156"/>
      <c r="U1920" s="1156"/>
      <c r="V1920" s="1156"/>
      <c r="W1920" s="1156"/>
      <c r="X1920" s="1156"/>
      <c r="Y1920" s="1156"/>
      <c r="Z1920" s="1156"/>
    </row>
    <row r="1921" spans="1:26" ht="12.75" customHeight="1">
      <c r="A1921" s="1156"/>
      <c r="B1921" s="1987" t="s">
        <v>2454</v>
      </c>
      <c r="C1921" s="1901" t="s">
        <v>4103</v>
      </c>
      <c r="D1921" s="1901"/>
      <c r="E1921" s="1901"/>
      <c r="F1921" s="1901"/>
      <c r="G1921" s="1901"/>
      <c r="H1921" s="1901"/>
      <c r="I1921" s="1901"/>
      <c r="J1921" s="1901"/>
      <c r="K1921" s="1901"/>
      <c r="L1921" s="1901"/>
      <c r="M1921" s="1901"/>
      <c r="N1921" s="1987" t="s">
        <v>2454</v>
      </c>
      <c r="O1921" s="1988" t="str">
        <f>'Part IX A-Scoring Criteria'!O367</f>
        <v>Yes</v>
      </c>
      <c r="P1921" s="1988">
        <f>'Part IX A-Scoring Criteria'!P367</f>
        <v>0</v>
      </c>
      <c r="Q1921" s="1156"/>
      <c r="R1921" s="1156"/>
      <c r="S1921" s="1156"/>
      <c r="T1921" s="1156"/>
      <c r="U1921" s="1156"/>
      <c r="V1921" s="1156"/>
      <c r="W1921" s="1156"/>
      <c r="X1921" s="1156"/>
      <c r="Y1921" s="1156"/>
      <c r="Z1921" s="1156"/>
    </row>
    <row r="1922" spans="1:26">
      <c r="C1922" s="1901"/>
      <c r="D1922" s="1901"/>
      <c r="E1922" s="1901"/>
      <c r="F1922" s="1901"/>
      <c r="G1922" s="1901"/>
      <c r="H1922" s="1901"/>
      <c r="I1922" s="1901"/>
      <c r="J1922" s="1901"/>
      <c r="K1922" s="1901"/>
      <c r="L1922" s="1901"/>
      <c r="M1922" s="1901"/>
      <c r="N1922" s="1824"/>
      <c r="O1922" s="1826"/>
      <c r="P1922" s="1826"/>
    </row>
    <row r="1923" spans="1:26">
      <c r="A1923" s="2152" t="s">
        <v>1999</v>
      </c>
      <c r="B1923" s="1844" t="s">
        <v>4104</v>
      </c>
      <c r="L1923" s="1985" t="str">
        <f>IF(OR($O1923=$M1923,$O1923=0,$O1923=""),"","* * Check Score! * *")</f>
        <v/>
      </c>
      <c r="M1923" s="1831">
        <v>3</v>
      </c>
      <c r="N1923" s="1977" t="s">
        <v>1999</v>
      </c>
      <c r="O1923" s="2021">
        <f>'Part IX A-Scoring Criteria'!O369</f>
        <v>3</v>
      </c>
      <c r="P1923" s="2021">
        <f>'Part IX A-Scoring Criteria'!P369</f>
        <v>0</v>
      </c>
      <c r="Q1923" s="2061" t="str">
        <f>IF(OR($O1923=$M1923,$O1923=0,$O1923=""),"","*CHECK!*")</f>
        <v/>
      </c>
      <c r="R1923" s="2105" t="s">
        <v>2724</v>
      </c>
    </row>
    <row r="1924" spans="1:26" ht="12.75" customHeight="1">
      <c r="A1924" s="2152"/>
      <c r="B1924" s="2074" t="s">
        <v>2002</v>
      </c>
      <c r="C1924" s="1936" t="s">
        <v>4105</v>
      </c>
      <c r="D1924" s="1936"/>
      <c r="E1924" s="1936"/>
      <c r="F1924" s="1936"/>
      <c r="G1924" s="1936"/>
      <c r="H1924" s="1936"/>
      <c r="I1924" s="1936"/>
      <c r="J1924" s="2085" t="s">
        <v>2006</v>
      </c>
      <c r="K1924" s="2085"/>
      <c r="M1924" s="2085" t="s">
        <v>2006</v>
      </c>
      <c r="N1924" s="2085"/>
      <c r="O1924" s="2085"/>
      <c r="P1924" s="2085"/>
    </row>
    <row r="1925" spans="1:26" ht="15">
      <c r="A1925" s="1984"/>
      <c r="B1925" s="1977" t="s">
        <v>2451</v>
      </c>
      <c r="C1925" s="478" t="s">
        <v>1494</v>
      </c>
      <c r="D1925" s="2022"/>
      <c r="E1925" s="2022"/>
      <c r="F1925" s="2022"/>
      <c r="G1925" s="2022"/>
      <c r="H1925" s="2022"/>
      <c r="I1925" s="1977" t="s">
        <v>2451</v>
      </c>
      <c r="J1925" s="1889">
        <f>'Part IX A-Scoring Criteria'!J371</f>
        <v>0</v>
      </c>
      <c r="K1925" s="1889">
        <f>'Part IX A-Scoring Criteria'!K371</f>
        <v>0</v>
      </c>
      <c r="L1925" s="1977" t="s">
        <v>2451</v>
      </c>
      <c r="M1925" s="1889">
        <f>'Part IX A-Scoring Criteria'!M371</f>
        <v>0</v>
      </c>
      <c r="N1925" s="1889">
        <f>'Part IX A-Scoring Criteria'!N371</f>
        <v>0</v>
      </c>
      <c r="O1925" s="1889">
        <f>'Part IX A-Scoring Criteria'!O371</f>
        <v>0</v>
      </c>
      <c r="P1925" s="1889">
        <f>'Part IX A-Scoring Criteria'!P371</f>
        <v>0</v>
      </c>
      <c r="Q1925" s="2022"/>
      <c r="R1925" s="1985"/>
      <c r="S1925" s="2022"/>
      <c r="T1925" s="2022"/>
      <c r="U1925" s="2022"/>
      <c r="V1925" s="2022"/>
      <c r="W1925" s="2022"/>
      <c r="X1925" s="2022"/>
      <c r="Y1925" s="2022"/>
      <c r="Z1925" s="2022"/>
    </row>
    <row r="1926" spans="1:26">
      <c r="A1926" s="1915"/>
      <c r="B1926" s="1987" t="s">
        <v>2452</v>
      </c>
      <c r="C1926" s="478" t="s">
        <v>3648</v>
      </c>
      <c r="I1926" s="1987" t="s">
        <v>2452</v>
      </c>
      <c r="J1926" s="1889">
        <f>'Part IX A-Scoring Criteria'!J372</f>
        <v>0</v>
      </c>
      <c r="K1926" s="1889">
        <f>'Part IX A-Scoring Criteria'!K372</f>
        <v>0</v>
      </c>
      <c r="L1926" s="1987" t="s">
        <v>2452</v>
      </c>
      <c r="M1926" s="1889">
        <f>'Part IX A-Scoring Criteria'!M372</f>
        <v>0</v>
      </c>
      <c r="N1926" s="1889">
        <f>'Part IX A-Scoring Criteria'!N372</f>
        <v>0</v>
      </c>
      <c r="O1926" s="1889">
        <f>'Part IX A-Scoring Criteria'!O372</f>
        <v>0</v>
      </c>
      <c r="P1926" s="1889">
        <f>'Part IX A-Scoring Criteria'!P372</f>
        <v>0</v>
      </c>
      <c r="R1926" s="1985"/>
    </row>
    <row r="1927" spans="1:26">
      <c r="B1927" s="1977" t="s">
        <v>2453</v>
      </c>
      <c r="C1927" s="478" t="s">
        <v>2643</v>
      </c>
      <c r="I1927" s="1977" t="s">
        <v>2453</v>
      </c>
      <c r="J1927" s="1889">
        <f>'Part IX A-Scoring Criteria'!J373</f>
        <v>0</v>
      </c>
      <c r="K1927" s="1889">
        <f>'Part IX A-Scoring Criteria'!K373</f>
        <v>0</v>
      </c>
      <c r="L1927" s="1977" t="s">
        <v>2453</v>
      </c>
      <c r="M1927" s="1889">
        <f>'Part IX A-Scoring Criteria'!M373</f>
        <v>0</v>
      </c>
      <c r="N1927" s="1889">
        <f>'Part IX A-Scoring Criteria'!N373</f>
        <v>0</v>
      </c>
      <c r="O1927" s="1889">
        <f>'Part IX A-Scoring Criteria'!O373</f>
        <v>0</v>
      </c>
      <c r="P1927" s="1889">
        <f>'Part IX A-Scoring Criteria'!P373</f>
        <v>0</v>
      </c>
      <c r="R1927" s="1985"/>
    </row>
    <row r="1928" spans="1:26">
      <c r="A1928" s="1915"/>
      <c r="B1928" s="1977" t="s">
        <v>2454</v>
      </c>
      <c r="C1928" s="478" t="s">
        <v>3483</v>
      </c>
      <c r="I1928" s="1977" t="s">
        <v>2454</v>
      </c>
      <c r="J1928" s="1889">
        <f>'Part IX A-Scoring Criteria'!J374</f>
        <v>0</v>
      </c>
      <c r="K1928" s="1889">
        <f>'Part IX A-Scoring Criteria'!K374</f>
        <v>0</v>
      </c>
      <c r="L1928" s="1977" t="s">
        <v>2454</v>
      </c>
      <c r="M1928" s="1889">
        <f>'Part IX A-Scoring Criteria'!M374</f>
        <v>0</v>
      </c>
      <c r="N1928" s="1889">
        <f>'Part IX A-Scoring Criteria'!N374</f>
        <v>0</v>
      </c>
      <c r="O1928" s="1889">
        <f>'Part IX A-Scoring Criteria'!O374</f>
        <v>0</v>
      </c>
      <c r="P1928" s="1889">
        <f>'Part IX A-Scoring Criteria'!P374</f>
        <v>0</v>
      </c>
      <c r="R1928" s="1985"/>
    </row>
    <row r="1929" spans="1:26" ht="15">
      <c r="A1929" s="1984"/>
      <c r="B1929" s="1987" t="s">
        <v>2455</v>
      </c>
      <c r="C1929" s="478" t="s">
        <v>2749</v>
      </c>
      <c r="D1929" s="2022"/>
      <c r="E1929" s="2022"/>
      <c r="F1929" s="2022"/>
      <c r="G1929" s="2022"/>
      <c r="H1929" s="2022"/>
      <c r="I1929" s="1987" t="s">
        <v>2455</v>
      </c>
      <c r="J1929" s="1889">
        <f>'Part IX A-Scoring Criteria'!J375</f>
        <v>0</v>
      </c>
      <c r="K1929" s="1889">
        <f>'Part IX A-Scoring Criteria'!K375</f>
        <v>0</v>
      </c>
      <c r="L1929" s="1987" t="s">
        <v>2455</v>
      </c>
      <c r="M1929" s="1889">
        <f>'Part IX A-Scoring Criteria'!M375</f>
        <v>0</v>
      </c>
      <c r="N1929" s="1889">
        <f>'Part IX A-Scoring Criteria'!N375</f>
        <v>0</v>
      </c>
      <c r="O1929" s="1889">
        <f>'Part IX A-Scoring Criteria'!O375</f>
        <v>0</v>
      </c>
      <c r="P1929" s="1889">
        <f>'Part IX A-Scoring Criteria'!P375</f>
        <v>0</v>
      </c>
      <c r="Q1929" s="2022"/>
      <c r="R1929" s="1985"/>
      <c r="S1929" s="2022"/>
      <c r="T1929" s="2022"/>
      <c r="U1929" s="2022"/>
      <c r="V1929" s="2022"/>
      <c r="W1929" s="2022"/>
      <c r="X1929" s="2022"/>
      <c r="Y1929" s="2022"/>
      <c r="Z1929" s="2022"/>
    </row>
    <row r="1930" spans="1:26">
      <c r="B1930" s="1977" t="s">
        <v>2471</v>
      </c>
      <c r="C1930" s="478" t="s">
        <v>1493</v>
      </c>
      <c r="I1930" s="1977" t="s">
        <v>2471</v>
      </c>
      <c r="J1930" s="1889">
        <f>'Part IX A-Scoring Criteria'!J376</f>
        <v>0</v>
      </c>
      <c r="K1930" s="1889">
        <f>'Part IX A-Scoring Criteria'!K376</f>
        <v>0</v>
      </c>
      <c r="L1930" s="1977" t="s">
        <v>2471</v>
      </c>
      <c r="M1930" s="1889">
        <f>'Part IX A-Scoring Criteria'!M376</f>
        <v>0</v>
      </c>
      <c r="N1930" s="1889">
        <f>'Part IX A-Scoring Criteria'!N376</f>
        <v>0</v>
      </c>
      <c r="O1930" s="1889">
        <f>'Part IX A-Scoring Criteria'!O376</f>
        <v>0</v>
      </c>
      <c r="P1930" s="1889">
        <f>'Part IX A-Scoring Criteria'!P376</f>
        <v>0</v>
      </c>
      <c r="R1930" s="1985"/>
    </row>
    <row r="1931" spans="1:26">
      <c r="A1931" s="1915"/>
      <c r="B1931" s="1977" t="s">
        <v>2472</v>
      </c>
      <c r="C1931" s="478" t="s">
        <v>3646</v>
      </c>
      <c r="I1931" s="1977" t="s">
        <v>2472</v>
      </c>
      <c r="J1931" s="1889">
        <f>'Part IX A-Scoring Criteria'!J377</f>
        <v>0</v>
      </c>
      <c r="K1931" s="1889">
        <f>'Part IX A-Scoring Criteria'!K377</f>
        <v>0</v>
      </c>
      <c r="L1931" s="1977" t="s">
        <v>2472</v>
      </c>
      <c r="M1931" s="1889">
        <f>'Part IX A-Scoring Criteria'!M377</f>
        <v>0</v>
      </c>
      <c r="N1931" s="1889">
        <f>'Part IX A-Scoring Criteria'!N377</f>
        <v>0</v>
      </c>
      <c r="O1931" s="1889">
        <f>'Part IX A-Scoring Criteria'!O377</f>
        <v>0</v>
      </c>
      <c r="P1931" s="1889">
        <f>'Part IX A-Scoring Criteria'!P377</f>
        <v>0</v>
      </c>
      <c r="R1931" s="1985"/>
    </row>
    <row r="1932" spans="1:26">
      <c r="A1932" s="1915"/>
      <c r="B1932" s="1977" t="s">
        <v>2473</v>
      </c>
      <c r="C1932" s="478" t="s">
        <v>4550</v>
      </c>
      <c r="I1932" s="1977" t="s">
        <v>2473</v>
      </c>
      <c r="J1932" s="1889">
        <f>'Part IX A-Scoring Criteria'!J378</f>
        <v>0</v>
      </c>
      <c r="K1932" s="1889">
        <f>'Part IX A-Scoring Criteria'!K378</f>
        <v>0</v>
      </c>
      <c r="L1932" s="1977" t="s">
        <v>2473</v>
      </c>
      <c r="M1932" s="1889">
        <f>'Part IX A-Scoring Criteria'!M378</f>
        <v>0</v>
      </c>
      <c r="N1932" s="1889">
        <f>'Part IX A-Scoring Criteria'!N378</f>
        <v>0</v>
      </c>
      <c r="O1932" s="1889">
        <f>'Part IX A-Scoring Criteria'!O378</f>
        <v>0</v>
      </c>
      <c r="P1932" s="1889">
        <f>'Part IX A-Scoring Criteria'!P378</f>
        <v>0</v>
      </c>
      <c r="R1932" s="1985"/>
    </row>
    <row r="1933" spans="1:26">
      <c r="B1933" s="1977" t="s">
        <v>2474</v>
      </c>
      <c r="C1933" s="478" t="s">
        <v>3647</v>
      </c>
      <c r="I1933" s="1977" t="s">
        <v>2474</v>
      </c>
      <c r="J1933" s="1889">
        <f>'Part IX A-Scoring Criteria'!J379</f>
        <v>0</v>
      </c>
      <c r="K1933" s="1889">
        <f>'Part IX A-Scoring Criteria'!K379</f>
        <v>0</v>
      </c>
      <c r="L1933" s="1977" t="s">
        <v>2474</v>
      </c>
      <c r="M1933" s="1889">
        <f>'Part IX A-Scoring Criteria'!M379</f>
        <v>0</v>
      </c>
      <c r="N1933" s="1889">
        <f>'Part IX A-Scoring Criteria'!N379</f>
        <v>0</v>
      </c>
      <c r="O1933" s="1889">
        <f>'Part IX A-Scoring Criteria'!O379</f>
        <v>0</v>
      </c>
      <c r="P1933" s="1889">
        <f>'Part IX A-Scoring Criteria'!P379</f>
        <v>0</v>
      </c>
      <c r="R1933" s="1985"/>
    </row>
    <row r="1934" spans="1:26">
      <c r="B1934" s="1977" t="s">
        <v>3649</v>
      </c>
      <c r="C1934" s="478" t="s">
        <v>4187</v>
      </c>
      <c r="I1934" s="1977" t="s">
        <v>3649</v>
      </c>
      <c r="J1934" s="1889">
        <f>'Part IX A-Scoring Criteria'!J380</f>
        <v>1400000</v>
      </c>
      <c r="K1934" s="1889">
        <f>'Part IX A-Scoring Criteria'!K380</f>
        <v>0</v>
      </c>
      <c r="L1934" s="1977" t="s">
        <v>3649</v>
      </c>
      <c r="M1934" s="1889">
        <f>'Part IX A-Scoring Criteria'!M380</f>
        <v>0</v>
      </c>
      <c r="N1934" s="1889">
        <f>'Part IX A-Scoring Criteria'!N380</f>
        <v>0</v>
      </c>
      <c r="O1934" s="1889">
        <f>'Part IX A-Scoring Criteria'!O380</f>
        <v>0</v>
      </c>
      <c r="P1934" s="1889">
        <f>'Part IX A-Scoring Criteria'!P380</f>
        <v>0</v>
      </c>
      <c r="R1934" s="1985"/>
    </row>
    <row r="1935" spans="1:26">
      <c r="A1935" s="1915"/>
      <c r="B1935" s="2153" t="s">
        <v>4849</v>
      </c>
      <c r="H1935" s="1969" t="s">
        <v>2645</v>
      </c>
      <c r="J1935" s="1889">
        <f>SUM(J1925:K1934)</f>
        <v>1400000</v>
      </c>
      <c r="K1935" s="1889"/>
      <c r="M1935" s="1889">
        <f>SUM($M1925:$M1934)</f>
        <v>0</v>
      </c>
      <c r="N1935" s="1889"/>
      <c r="O1935" s="1889"/>
      <c r="P1935" s="1889"/>
      <c r="R1935" s="1985"/>
    </row>
    <row r="1936" spans="1:26" ht="15">
      <c r="A1936" s="1629"/>
      <c r="B1936" s="2022"/>
      <c r="C1936" s="2022"/>
      <c r="D1936" s="478"/>
      <c r="E1936" s="478"/>
      <c r="F1936" s="1837"/>
      <c r="G1936" s="1748"/>
      <c r="H1936" s="2001"/>
      <c r="I1936" s="2022"/>
      <c r="J1936" s="1622"/>
      <c r="K1936" s="1622"/>
      <c r="L1936" s="1748"/>
      <c r="M1936" s="1622"/>
      <c r="N1936" s="1622"/>
      <c r="O1936" s="2154"/>
      <c r="P1936" s="1622"/>
      <c r="Q1936" s="2022"/>
      <c r="R1936" s="2022"/>
      <c r="S1936" s="2022"/>
      <c r="T1936" s="2022"/>
      <c r="U1936" s="2022"/>
      <c r="V1936" s="2022"/>
      <c r="W1936" s="2022"/>
      <c r="X1936" s="2022"/>
      <c r="Y1936" s="2022"/>
      <c r="Z1936" s="2022"/>
    </row>
    <row r="1937" spans="1:26">
      <c r="B1937" s="2152" t="s">
        <v>2004</v>
      </c>
      <c r="C1937" s="1879" t="s">
        <v>2644</v>
      </c>
      <c r="E1937" s="1872" t="s">
        <v>2646</v>
      </c>
      <c r="H1937" s="1964">
        <f>'Part IX A-Scoring Criteria'!H383</f>
        <v>13639318</v>
      </c>
      <c r="I1937" s="1831"/>
      <c r="J1937" s="1889">
        <f>'Part IV-A-Uses of Funds'!$G$132</f>
        <v>13639318</v>
      </c>
      <c r="K1937" s="1889"/>
      <c r="M1937" s="1622"/>
      <c r="N1937" s="1622"/>
      <c r="P1937" s="1622"/>
    </row>
    <row r="1938" spans="1:26" ht="12.75" customHeight="1">
      <c r="A1938" s="1927" t="s">
        <v>4850</v>
      </c>
      <c r="B1938" s="1927"/>
      <c r="C1938" s="1927"/>
      <c r="D1938" s="1927"/>
      <c r="E1938" s="2010" t="s">
        <v>2647</v>
      </c>
      <c r="H1938" s="2155">
        <f>'Part IX A-Scoring Criteria'!H384</f>
        <v>0.102644</v>
      </c>
      <c r="I1938" s="1831"/>
      <c r="J1938" s="2156">
        <f>IF($J1937=0,0,$J1935/$J1937)</f>
        <v>0.10264442840910373</v>
      </c>
      <c r="K1938" s="2156"/>
      <c r="M1938" s="2156">
        <f>IF($J1937=0,0,$M1935/$J1937)</f>
        <v>0</v>
      </c>
      <c r="N1938" s="2156"/>
      <c r="O1938" s="2156"/>
      <c r="P1938" s="2156"/>
    </row>
    <row r="1939" spans="1:26" ht="15">
      <c r="A1939" s="1927"/>
      <c r="B1939" s="1927"/>
      <c r="C1939" s="1927"/>
      <c r="D1939" s="1927"/>
      <c r="E1939" s="1999" t="s">
        <v>4299</v>
      </c>
      <c r="F1939" s="2022"/>
      <c r="G1939" s="2022"/>
      <c r="H1939" s="1964">
        <f>'Part IX A-Scoring Criteria'!H385</f>
        <v>3</v>
      </c>
      <c r="I1939" s="1831"/>
      <c r="J1939" s="1877">
        <f>IF(L1918="",IF(OR(AND($J1916="Flexible",$J1938&gt;=0.15),AND($J1916="Rural",$J1938&gt;=0.1)), 4,IF(AND($J1916="Flexible",$J1938&gt;=0.1), 3,IF(OR(AND($J1916="Flexible",$J1938&gt;=0.05),AND($J1916="Rural",$J1938&gt;=0.05)), 2,IF(OR(AND($J1916="Flexible",$J1938&gt;=0.02),AND($J1916="Rural",$J1938&gt;=0.02)),1,0)))),0)</f>
        <v>3</v>
      </c>
      <c r="K1939" s="1877"/>
      <c r="L1939" s="1844"/>
      <c r="M1939" s="1877">
        <f>IF(R1918="",IF(OR(AND($J1916="Flexible",$M1938&gt;=0.15),AND($J1916="Rural",$M1938&gt;=0.1)), 4,IF(AND($J1916="Flexible",$M1938&gt;=0.1), 3,IF(OR(AND($J1916="Flexible",$M1938&gt;=0.05),AND($J1916="Rural",$M1938&gt;=0.05)), 2,IF(OR(AND($J1916="Flexible",$M1938&gt;=0.02),AND($J1916="Rural",$M1938&gt;=0.02)),1,0)))),0)</f>
        <v>0</v>
      </c>
      <c r="N1939" s="1877"/>
      <c r="O1939" s="1877"/>
      <c r="P1939" s="1877"/>
      <c r="Q1939" s="2022"/>
      <c r="R1939" s="2022"/>
      <c r="S1939" s="2022"/>
      <c r="T1939" s="2022"/>
      <c r="U1939" s="2022"/>
      <c r="V1939" s="2022"/>
      <c r="W1939" s="2022"/>
      <c r="X1939" s="2022"/>
      <c r="Y1939" s="2022"/>
      <c r="Z1939" s="2022"/>
    </row>
    <row r="1940" spans="1:26">
      <c r="N1940" s="1824"/>
      <c r="O1940" s="1826"/>
      <c r="P1940" s="1826"/>
    </row>
    <row r="1941" spans="1:26" ht="18.75">
      <c r="A1941" s="1855" t="s">
        <v>2001</v>
      </c>
      <c r="B1941" s="2045" t="s">
        <v>3650</v>
      </c>
      <c r="C1941" s="2040"/>
      <c r="D1941" s="478"/>
      <c r="E1941" s="478"/>
      <c r="F1941" s="1837"/>
      <c r="G1941" s="2040"/>
      <c r="H1941" s="478"/>
      <c r="I1941" s="1837"/>
      <c r="J1941" s="1872"/>
      <c r="K1941" s="1872"/>
      <c r="L1941" s="1985" t="str">
        <f>IF(OR($O1941=$M1941,$O1941=0,$O1941=""),"","* * Check Score! * *")</f>
        <v/>
      </c>
      <c r="M1941" s="1831">
        <v>1</v>
      </c>
      <c r="N1941" s="1977" t="s">
        <v>2001</v>
      </c>
      <c r="O1941" s="2021">
        <f>'Part IX A-Scoring Criteria'!O387</f>
        <v>1</v>
      </c>
      <c r="P1941" s="2021">
        <f>'Part IX A-Scoring Criteria'!P387</f>
        <v>0</v>
      </c>
      <c r="Q1941" s="1837" t="s">
        <v>443</v>
      </c>
      <c r="R1941" s="2105" t="s">
        <v>2724</v>
      </c>
      <c r="S1941" s="2040"/>
      <c r="T1941" s="2040"/>
      <c r="U1941" s="2040"/>
      <c r="V1941" s="2089"/>
      <c r="W1941" s="2089"/>
      <c r="X1941" s="2040"/>
      <c r="Y1941" s="2040"/>
      <c r="Z1941" s="2040"/>
    </row>
    <row r="1942" spans="1:26" ht="18.75" customHeight="1">
      <c r="A1942" s="1855"/>
      <c r="B1942" s="1987" t="s">
        <v>2451</v>
      </c>
      <c r="C1942" s="1936" t="s">
        <v>4106</v>
      </c>
      <c r="D1942" s="1936"/>
      <c r="E1942" s="1936"/>
      <c r="F1942" s="1936"/>
      <c r="G1942" s="1936"/>
      <c r="H1942" s="1936"/>
      <c r="I1942" s="1936"/>
      <c r="J1942" s="1936"/>
      <c r="K1942" s="1936"/>
      <c r="L1942" s="1936"/>
      <c r="M1942" s="1936"/>
      <c r="N1942" s="1987" t="s">
        <v>2451</v>
      </c>
      <c r="O1942" s="1988" t="str">
        <f>'Part IX A-Scoring Criteria'!O388</f>
        <v>Yes</v>
      </c>
      <c r="P1942" s="1988">
        <f>'Part IX A-Scoring Criteria'!P388</f>
        <v>0</v>
      </c>
      <c r="Q1942" s="2022"/>
      <c r="R1942" s="2022"/>
      <c r="S1942" s="2022"/>
      <c r="T1942" s="2022"/>
      <c r="U1942" s="2022"/>
      <c r="V1942" s="2089"/>
      <c r="W1942" s="2089"/>
      <c r="X1942" s="2022"/>
      <c r="Y1942" s="2022"/>
      <c r="Z1942" s="2022"/>
    </row>
    <row r="1943" spans="1:26" ht="18.75">
      <c r="A1943" s="1855"/>
      <c r="B1943" s="1977" t="s">
        <v>2452</v>
      </c>
      <c r="C1943" s="478" t="s">
        <v>3829</v>
      </c>
      <c r="D1943" s="478"/>
      <c r="E1943" s="478"/>
      <c r="F1943" s="478"/>
      <c r="G1943" s="478"/>
      <c r="H1943" s="478"/>
      <c r="I1943" s="478"/>
      <c r="J1943" s="478"/>
      <c r="K1943" s="478"/>
      <c r="L1943" s="2022"/>
      <c r="M1943" s="478"/>
      <c r="N1943" s="1987" t="s">
        <v>2452</v>
      </c>
      <c r="O1943" s="1942" t="str">
        <f>'Part IX A-Scoring Criteria'!O389</f>
        <v>Yes</v>
      </c>
      <c r="P1943" s="1942">
        <f>'Part IX A-Scoring Criteria'!P389</f>
        <v>0</v>
      </c>
      <c r="Q1943" s="2022"/>
      <c r="R1943" s="2022"/>
      <c r="S1943" s="2022"/>
      <c r="T1943" s="2022"/>
      <c r="U1943" s="2022"/>
      <c r="V1943" s="2089"/>
      <c r="W1943" s="2089"/>
      <c r="X1943" s="2022"/>
      <c r="Y1943" s="2022"/>
      <c r="Z1943" s="2022"/>
    </row>
    <row r="1944" spans="1:26">
      <c r="B1944" s="1977" t="s">
        <v>2453</v>
      </c>
      <c r="C1944" s="1156" t="s">
        <v>4107</v>
      </c>
      <c r="N1944" s="1977" t="s">
        <v>2453</v>
      </c>
      <c r="O1944" s="1942" t="str">
        <f>'Part IX A-Scoring Criteria'!O390</f>
        <v>Yes</v>
      </c>
      <c r="P1944" s="1942">
        <f>'Part IX A-Scoring Criteria'!P390</f>
        <v>0</v>
      </c>
    </row>
    <row r="1945" spans="1:26">
      <c r="B1945" s="2041" t="s">
        <v>3780</v>
      </c>
      <c r="N1945" s="1824"/>
      <c r="O1945" s="1826"/>
      <c r="P1945" s="1826"/>
    </row>
    <row r="1946" spans="1:26" ht="409.5">
      <c r="A1946" s="1936" t="str">
        <f>'Part IX A-Scoring Criteria'!A392</f>
        <v>Tindall Fields III qualifies for the maximum points for this scoring section for both Sections A and B.  For Section XVII. A, Tindall Fields III qualifies for the maximum points because we have a loan from Macon-Bibb County and its Urban Development Authority in the amount of $1,400,000.  Our total qualifying sources therefore exceed 10% of our TDC. The appropriate financing documents and related material are all found at Tab 40-01-01; this documentation shows that this Macon-Bibb County loan is in full compliance with QAP Scoring section XVII. 
For Section XVII. B,  Tindall Fields III qualifies for the points for this section because we have an executed Option to Ground Lease from the Macon-Bibb Housing Authority.  These ground lease documents are found at Tab 08-01 and Tab 40-02-01.  This Option is in full compliance with the DCA requirements in QAP Scoring Section XVII.B.</v>
      </c>
      <c r="B1946" s="1936">
        <f>'Part IX A-Scoring Criteria'!B392</f>
        <v>0</v>
      </c>
      <c r="C1946" s="1936">
        <f>'Part IX A-Scoring Criteria'!C392</f>
        <v>0</v>
      </c>
      <c r="D1946" s="1936">
        <f>'Part IX A-Scoring Criteria'!D392</f>
        <v>0</v>
      </c>
      <c r="E1946" s="1936">
        <f>'Part IX A-Scoring Criteria'!E392</f>
        <v>0</v>
      </c>
      <c r="F1946" s="1936">
        <f>'Part IX A-Scoring Criteria'!F392</f>
        <v>0</v>
      </c>
      <c r="G1946" s="1936">
        <f>'Part IX A-Scoring Criteria'!G392</f>
        <v>0</v>
      </c>
      <c r="H1946" s="1936">
        <f>'Part IX A-Scoring Criteria'!H392</f>
        <v>0</v>
      </c>
      <c r="I1946" s="1936">
        <f>'Part IX A-Scoring Criteria'!I392</f>
        <v>0</v>
      </c>
      <c r="J1946" s="1936">
        <f>'Part IX A-Scoring Criteria'!J392</f>
        <v>0</v>
      </c>
      <c r="K1946" s="1936">
        <f>'Part IX A-Scoring Criteria'!K392</f>
        <v>0</v>
      </c>
      <c r="L1946" s="1936">
        <f>'Part IX A-Scoring Criteria'!L392</f>
        <v>0</v>
      </c>
      <c r="M1946" s="1936">
        <f>'Part IX A-Scoring Criteria'!M392</f>
        <v>0</v>
      </c>
      <c r="N1946" s="1936">
        <f>'Part IX A-Scoring Criteria'!N392</f>
        <v>0</v>
      </c>
      <c r="O1946" s="1936">
        <f>'Part IX A-Scoring Criteria'!O392</f>
        <v>0</v>
      </c>
      <c r="P1946" s="1936">
        <f>'Part IX A-Scoring Criteria'!P392</f>
        <v>0</v>
      </c>
      <c r="Q1946" s="2030"/>
      <c r="R1946" s="2022"/>
      <c r="S1946" s="2022"/>
      <c r="T1946" s="2022"/>
      <c r="U1946" s="2022"/>
      <c r="V1946" s="2022"/>
      <c r="W1946" s="2022"/>
      <c r="X1946" s="2022"/>
      <c r="Y1946" s="2022"/>
      <c r="Z1946" s="2022"/>
    </row>
    <row r="1947" spans="1:26" ht="15">
      <c r="A1947" s="1629"/>
      <c r="B1947" s="1664" t="s">
        <v>1880</v>
      </c>
      <c r="C1947" s="1629"/>
      <c r="D1947" s="1900"/>
      <c r="E1947" s="1866"/>
      <c r="F1947" s="1866"/>
      <c r="G1947" s="1866"/>
      <c r="H1947" s="1866"/>
      <c r="I1947" s="1866"/>
      <c r="J1947" s="1866"/>
      <c r="K1947" s="1866"/>
      <c r="L1947" s="1866"/>
      <c r="M1947" s="1866"/>
      <c r="N1947" s="1963"/>
      <c r="O1947" s="1842"/>
      <c r="P1947" s="1837"/>
      <c r="Q1947" s="2053"/>
      <c r="R1947" s="2040"/>
      <c r="S1947" s="2040"/>
      <c r="T1947" s="2040"/>
      <c r="U1947" s="2040"/>
      <c r="V1947" s="2040"/>
      <c r="W1947" s="2040"/>
      <c r="X1947" s="2040"/>
      <c r="Y1947" s="2040"/>
      <c r="Z1947" s="2040"/>
    </row>
    <row r="1948" spans="1:26" ht="15.75">
      <c r="A1948" s="1936">
        <f>'Part IX A-Scoring Criteria'!A394</f>
        <v>0</v>
      </c>
      <c r="B1948" s="1936">
        <f>'Part IX A-Scoring Criteria'!B394</f>
        <v>0</v>
      </c>
      <c r="C1948" s="1936">
        <f>'Part IX A-Scoring Criteria'!C394</f>
        <v>0</v>
      </c>
      <c r="D1948" s="1936">
        <f>'Part IX A-Scoring Criteria'!D394</f>
        <v>0</v>
      </c>
      <c r="E1948" s="1936">
        <f>'Part IX A-Scoring Criteria'!E394</f>
        <v>0</v>
      </c>
      <c r="F1948" s="1936">
        <f>'Part IX A-Scoring Criteria'!F394</f>
        <v>0</v>
      </c>
      <c r="G1948" s="1936">
        <f>'Part IX A-Scoring Criteria'!G394</f>
        <v>0</v>
      </c>
      <c r="H1948" s="1936">
        <f>'Part IX A-Scoring Criteria'!H394</f>
        <v>0</v>
      </c>
      <c r="I1948" s="1936">
        <f>'Part IX A-Scoring Criteria'!I394</f>
        <v>0</v>
      </c>
      <c r="J1948" s="1936">
        <f>'Part IX A-Scoring Criteria'!J394</f>
        <v>0</v>
      </c>
      <c r="K1948" s="1936">
        <f>'Part IX A-Scoring Criteria'!K394</f>
        <v>0</v>
      </c>
      <c r="L1948" s="1936">
        <f>'Part IX A-Scoring Criteria'!L394</f>
        <v>0</v>
      </c>
      <c r="M1948" s="1936">
        <f>'Part IX A-Scoring Criteria'!M394</f>
        <v>0</v>
      </c>
      <c r="N1948" s="1936">
        <f>'Part IX A-Scoring Criteria'!N394</f>
        <v>0</v>
      </c>
      <c r="O1948" s="1936">
        <f>'Part IX A-Scoring Criteria'!O394</f>
        <v>0</v>
      </c>
      <c r="P1948" s="1936">
        <f>'Part IX A-Scoring Criteria'!P394</f>
        <v>0</v>
      </c>
      <c r="Q1948" s="2030"/>
      <c r="R1948" s="2022"/>
      <c r="S1948" s="2022"/>
      <c r="T1948" s="2022"/>
      <c r="U1948" s="2022"/>
      <c r="V1948" s="2022"/>
      <c r="W1948" s="2022"/>
      <c r="X1948" s="2022"/>
      <c r="Y1948" s="2022"/>
      <c r="Z1948" s="2022"/>
    </row>
    <row r="1949" spans="1:26" ht="15">
      <c r="A1949" s="1629"/>
      <c r="B1949" s="1629"/>
      <c r="C1949" s="1939"/>
      <c r="D1949" s="1939"/>
      <c r="E1949" s="1939"/>
      <c r="F1949" s="1939"/>
      <c r="G1949" s="1939"/>
      <c r="H1949" s="1939"/>
      <c r="I1949" s="1939"/>
      <c r="J1949" s="1939"/>
      <c r="K1949" s="1939"/>
      <c r="L1949" s="1939"/>
      <c r="M1949" s="1939"/>
      <c r="N1949" s="2057"/>
      <c r="O1949" s="2028"/>
      <c r="P1949" s="1837"/>
      <c r="Q1949" s="2022"/>
      <c r="R1949" s="2022"/>
      <c r="S1949" s="2022"/>
      <c r="T1949" s="2022"/>
      <c r="U1949" s="2022"/>
      <c r="V1949" s="2022"/>
      <c r="W1949" s="2022"/>
      <c r="X1949" s="2022"/>
      <c r="Y1949" s="2022"/>
      <c r="Z1949" s="2022"/>
    </row>
    <row r="1950" spans="1:26" ht="15">
      <c r="A1950" s="2149" t="s">
        <v>4148</v>
      </c>
      <c r="B1950" s="2022"/>
      <c r="C1950" s="2024" t="s">
        <v>2737</v>
      </c>
      <c r="D1950" s="1999"/>
      <c r="E1950" s="478"/>
      <c r="F1950" s="2022"/>
      <c r="G1950" s="2022"/>
      <c r="H1950" s="2022"/>
      <c r="I1950" s="2022"/>
      <c r="J1950" s="2071"/>
      <c r="K1950" s="2022"/>
      <c r="L1950" s="2022"/>
      <c r="M1950" s="1837">
        <v>3</v>
      </c>
      <c r="N1950" s="1828"/>
      <c r="O1950" s="2021">
        <f>'Part IX A-Scoring Criteria'!O396</f>
        <v>3</v>
      </c>
      <c r="P1950" s="1837">
        <f>'Part IX A-Scoring Criteria'!P396</f>
        <v>0</v>
      </c>
      <c r="Q1950" s="1837" t="s">
        <v>443</v>
      </c>
      <c r="R1950" s="2022"/>
      <c r="S1950" s="2022"/>
      <c r="T1950" s="2022"/>
      <c r="U1950" s="2022"/>
      <c r="V1950" s="2022"/>
      <c r="W1950" s="2022"/>
      <c r="X1950" s="2022"/>
      <c r="Y1950" s="2022"/>
      <c r="Z1950" s="2022"/>
    </row>
    <row r="1951" spans="1:26" ht="15">
      <c r="A1951" s="1855" t="s">
        <v>1999</v>
      </c>
      <c r="B1951" s="1844" t="s">
        <v>3676</v>
      </c>
      <c r="C1951" s="2022"/>
      <c r="D1951" s="1629"/>
      <c r="E1951" s="1629"/>
      <c r="F1951" s="1629"/>
      <c r="G1951" s="2022"/>
      <c r="H1951" s="2022"/>
      <c r="I1951" s="2022"/>
      <c r="J1951" s="1872" t="s">
        <v>3840</v>
      </c>
      <c r="K1951" s="2022"/>
      <c r="L1951" s="1909">
        <f>'Part VI-Revenues &amp; Expenses'!$O$62*0.1</f>
        <v>6.5</v>
      </c>
      <c r="M1951" s="1828">
        <v>2</v>
      </c>
      <c r="N1951" s="1977" t="s">
        <v>1999</v>
      </c>
      <c r="O1951" s="2119">
        <f>'Part IX A-Scoring Criteria'!O397</f>
        <v>0</v>
      </c>
      <c r="P1951" s="2119">
        <f>'Part IX A-Scoring Criteria'!P397</f>
        <v>0</v>
      </c>
      <c r="Q1951" s="1876"/>
      <c r="R1951" s="1837"/>
      <c r="S1951" s="2022"/>
      <c r="T1951" s="2022"/>
      <c r="U1951" s="2022"/>
      <c r="V1951" s="2022"/>
      <c r="W1951" s="2022"/>
      <c r="X1951" s="2022"/>
      <c r="Y1951" s="2022"/>
      <c r="Z1951" s="2022"/>
    </row>
    <row r="1952" spans="1:26" ht="15" customHeight="1">
      <c r="A1952" s="1976"/>
      <c r="B1952" s="2074" t="s">
        <v>2002</v>
      </c>
      <c r="C1952" s="1936" t="s">
        <v>3839</v>
      </c>
      <c r="D1952" s="1936"/>
      <c r="E1952" s="1936"/>
      <c r="F1952" s="1936"/>
      <c r="G1952" s="1936"/>
      <c r="H1952" s="1936"/>
      <c r="I1952" s="1936"/>
      <c r="J1952" s="1872" t="s">
        <v>3842</v>
      </c>
      <c r="K1952" s="2022"/>
      <c r="L1952" s="1909">
        <f>'Part VI-Revenues &amp; Expenses'!$O$58</f>
        <v>65</v>
      </c>
      <c r="M1952" s="1861" t="str">
        <f>IF(L1954&lt;L1953,"Check 1BR LI count!","")</f>
        <v>Check 1BR LI count!</v>
      </c>
      <c r="N1952" s="2048" t="s">
        <v>2002</v>
      </c>
      <c r="O1952" s="1988">
        <f>'Part IX A-Scoring Criteria'!O398</f>
        <v>0</v>
      </c>
      <c r="P1952" s="1988">
        <f>'Part IX A-Scoring Criteria'!P398</f>
        <v>0</v>
      </c>
      <c r="Q1952" s="2079"/>
      <c r="R1952" s="2080"/>
      <c r="S1952" s="2073"/>
      <c r="T1952" s="2073"/>
      <c r="U1952" s="2073"/>
      <c r="V1952" s="2073"/>
      <c r="W1952" s="2073"/>
      <c r="X1952" s="2073"/>
      <c r="Y1952" s="2073"/>
      <c r="Z1952" s="2073"/>
    </row>
    <row r="1953" spans="1:26" ht="15">
      <c r="A1953" s="1976"/>
      <c r="B1953" s="2074"/>
      <c r="C1953" s="1936"/>
      <c r="D1953" s="1936"/>
      <c r="E1953" s="1936"/>
      <c r="F1953" s="1936"/>
      <c r="G1953" s="1936"/>
      <c r="H1953" s="1936"/>
      <c r="I1953" s="1936"/>
      <c r="J1953" s="1872" t="s">
        <v>3843</v>
      </c>
      <c r="K1953" s="2073"/>
      <c r="L1953" s="1909">
        <f>L1952*0.1</f>
        <v>6.5</v>
      </c>
      <c r="M1953" s="1861"/>
      <c r="N1953" s="2048"/>
      <c r="O1953" s="2048"/>
      <c r="P1953" s="2048"/>
      <c r="Q1953" s="2079"/>
      <c r="R1953" s="2080"/>
      <c r="S1953" s="2073"/>
      <c r="T1953" s="2073"/>
      <c r="U1953" s="2073"/>
      <c r="V1953" s="2073"/>
      <c r="W1953" s="2073"/>
      <c r="X1953" s="2073"/>
      <c r="Y1953" s="2073"/>
      <c r="Z1953" s="2073"/>
    </row>
    <row r="1954" spans="1:26" ht="15">
      <c r="A1954" s="1976"/>
      <c r="B1954" s="2074"/>
      <c r="C1954" s="1936"/>
      <c r="D1954" s="1936"/>
      <c r="E1954" s="1936"/>
      <c r="F1954" s="1936"/>
      <c r="G1954" s="1936"/>
      <c r="H1954" s="1936"/>
      <c r="I1954" s="1936"/>
      <c r="J1954" s="1872" t="s">
        <v>3844</v>
      </c>
      <c r="K1954" s="2073"/>
      <c r="L1954" s="1909">
        <f>'Part VI-Revenues &amp; Expenses'!$K$58</f>
        <v>0</v>
      </c>
      <c r="M1954" s="1861"/>
      <c r="N1954" s="2048"/>
      <c r="O1954" s="2048"/>
      <c r="P1954" s="2048"/>
      <c r="Q1954" s="2079"/>
      <c r="R1954" s="2080"/>
      <c r="S1954" s="2073"/>
      <c r="T1954" s="2073"/>
      <c r="U1954" s="2073"/>
      <c r="V1954" s="2073"/>
      <c r="W1954" s="2073"/>
      <c r="X1954" s="2073"/>
      <c r="Y1954" s="2073"/>
      <c r="Z1954" s="2073"/>
    </row>
    <row r="1955" spans="1:26" ht="12.75" customHeight="1">
      <c r="A1955" s="1894"/>
      <c r="B1955" s="2074" t="s">
        <v>2004</v>
      </c>
      <c r="C1955" s="1936" t="s">
        <v>3415</v>
      </c>
      <c r="D1955" s="1936"/>
      <c r="E1955" s="1936"/>
      <c r="F1955" s="1936"/>
      <c r="G1955" s="1936"/>
      <c r="H1955" s="1936"/>
      <c r="I1955" s="1936"/>
      <c r="J1955" s="1936"/>
      <c r="K1955" s="1936"/>
      <c r="L1955" s="1936"/>
      <c r="M1955" s="1936"/>
      <c r="N1955" s="2048" t="s">
        <v>2004</v>
      </c>
      <c r="O1955" s="1942">
        <f>'Part IX A-Scoring Criteria'!O401</f>
        <v>0</v>
      </c>
      <c r="P1955" s="1942">
        <f>'Part IX A-Scoring Criteria'!P401</f>
        <v>0</v>
      </c>
      <c r="Q1955" s="1961"/>
      <c r="R1955" s="1961"/>
      <c r="S1955" s="1961"/>
      <c r="T1955" s="1961"/>
      <c r="U1955" s="1961"/>
      <c r="V1955" s="1961"/>
      <c r="W1955" s="1961"/>
      <c r="X1955" s="1961"/>
      <c r="Y1955" s="1961"/>
      <c r="Z1955" s="1961"/>
    </row>
    <row r="1956" spans="1:26" ht="12.75" customHeight="1">
      <c r="A1956" s="1894"/>
      <c r="B1956" s="2074" t="s">
        <v>2551</v>
      </c>
      <c r="C1956" s="1936" t="s">
        <v>3841</v>
      </c>
      <c r="D1956" s="1936"/>
      <c r="E1956" s="1936"/>
      <c r="F1956" s="1936"/>
      <c r="G1956" s="1936"/>
      <c r="H1956" s="1936"/>
      <c r="I1956" s="1936"/>
      <c r="J1956" s="1936"/>
      <c r="K1956" s="1936"/>
      <c r="L1956" s="1936"/>
      <c r="M1956" s="1936"/>
      <c r="N1956" s="2048" t="s">
        <v>2551</v>
      </c>
      <c r="O1956" s="1942">
        <f>'Part IX A-Scoring Criteria'!O402</f>
        <v>0</v>
      </c>
      <c r="P1956" s="1942">
        <f>'Part IX A-Scoring Criteria'!P402</f>
        <v>0</v>
      </c>
      <c r="Q1956" s="1961"/>
      <c r="R1956" s="1961"/>
      <c r="S1956" s="1961"/>
      <c r="T1956" s="1961"/>
      <c r="U1956" s="1961"/>
      <c r="V1956" s="1961"/>
      <c r="W1956" s="1961"/>
      <c r="X1956" s="1961"/>
      <c r="Y1956" s="1961"/>
      <c r="Z1956" s="1961"/>
    </row>
    <row r="1957" spans="1:26" ht="12.75" customHeight="1">
      <c r="A1957" s="1894"/>
      <c r="B1957" s="2074" t="s">
        <v>1236</v>
      </c>
      <c r="C1957" s="1936" t="s">
        <v>3838</v>
      </c>
      <c r="D1957" s="1936"/>
      <c r="E1957" s="1936"/>
      <c r="F1957" s="1936"/>
      <c r="G1957" s="1936"/>
      <c r="H1957" s="1936"/>
      <c r="I1957" s="1936"/>
      <c r="J1957" s="1936"/>
      <c r="K1957" s="1936"/>
      <c r="L1957" s="1936"/>
      <c r="M1957" s="1936"/>
      <c r="N1957" s="2048" t="s">
        <v>1236</v>
      </c>
      <c r="O1957" s="1942">
        <f>'Part IX A-Scoring Criteria'!O403</f>
        <v>0</v>
      </c>
      <c r="P1957" s="1942">
        <f>'Part IX A-Scoring Criteria'!P403</f>
        <v>0</v>
      </c>
      <c r="Q1957" s="1961"/>
      <c r="R1957" s="1961"/>
      <c r="S1957" s="1961"/>
      <c r="T1957" s="1961"/>
      <c r="U1957" s="1961"/>
      <c r="V1957" s="1961"/>
      <c r="W1957" s="1961"/>
      <c r="X1957" s="1961"/>
      <c r="Y1957" s="1961"/>
      <c r="Z1957" s="1961"/>
    </row>
    <row r="1958" spans="1:26">
      <c r="A1958" s="1961"/>
      <c r="B1958" s="2067"/>
      <c r="C1958" s="2096"/>
      <c r="D1958" s="2096"/>
      <c r="E1958" s="2096"/>
      <c r="F1958" s="2096"/>
      <c r="G1958" s="2096"/>
      <c r="H1958" s="2096"/>
      <c r="I1958" s="1961"/>
      <c r="J1958" s="1961"/>
      <c r="K1958" s="1961"/>
      <c r="L1958" s="1961"/>
      <c r="M1958" s="2096"/>
      <c r="N1958" s="2096"/>
      <c r="O1958" s="2096"/>
      <c r="P1958" s="2096"/>
      <c r="Q1958" s="1961"/>
      <c r="R1958" s="1961"/>
      <c r="S1958" s="1961"/>
      <c r="T1958" s="1961"/>
      <c r="U1958" s="1961"/>
      <c r="V1958" s="1961"/>
      <c r="W1958" s="1961"/>
      <c r="X1958" s="1961"/>
      <c r="Y1958" s="1961"/>
      <c r="Z1958" s="1961"/>
    </row>
    <row r="1959" spans="1:26" ht="15">
      <c r="A1959" s="1855" t="s">
        <v>2001</v>
      </c>
      <c r="B1959" s="1844" t="s">
        <v>2738</v>
      </c>
      <c r="C1959" s="2022"/>
      <c r="D1959" s="1872"/>
      <c r="E1959" s="2022"/>
      <c r="F1959" s="2022"/>
      <c r="G1959" s="478"/>
      <c r="H1959" s="2022"/>
      <c r="I1959" s="2022"/>
      <c r="J1959" s="2022"/>
      <c r="K1959" s="2022"/>
      <c r="L1959" s="2022"/>
      <c r="M1959" s="1828">
        <v>3</v>
      </c>
      <c r="N1959" s="1977" t="s">
        <v>2001</v>
      </c>
      <c r="O1959" s="2119">
        <f>'Part IX A-Scoring Criteria'!O405</f>
        <v>3</v>
      </c>
      <c r="P1959" s="2119">
        <f>'Part IX A-Scoring Criteria'!P405</f>
        <v>0</v>
      </c>
      <c r="Q1959" s="1876"/>
      <c r="R1959" s="1985"/>
      <c r="S1959" s="2022"/>
      <c r="T1959" s="2022"/>
      <c r="U1959" s="2022"/>
      <c r="V1959" s="2022"/>
      <c r="W1959" s="2022"/>
      <c r="X1959" s="2022"/>
      <c r="Y1959" s="2022"/>
      <c r="Z1959" s="2022"/>
    </row>
    <row r="1960" spans="1:26" ht="15" customHeight="1">
      <c r="A1960" s="1976"/>
      <c r="B1960" s="2074" t="s">
        <v>2002</v>
      </c>
      <c r="C1960" s="1936" t="s">
        <v>3861</v>
      </c>
      <c r="D1960" s="1936"/>
      <c r="E1960" s="1936"/>
      <c r="F1960" s="1936"/>
      <c r="G1960" s="1936"/>
      <c r="H1960" s="1936"/>
      <c r="I1960" s="1936"/>
      <c r="J1960" s="1936"/>
      <c r="K1960" s="1936"/>
      <c r="L1960" s="1936"/>
      <c r="M1960" s="1936"/>
      <c r="N1960" s="2048" t="s">
        <v>2002</v>
      </c>
      <c r="O1960" s="1988" t="str">
        <f>'Part IX A-Scoring Criteria'!O406</f>
        <v>Agree</v>
      </c>
      <c r="P1960" s="1988">
        <f>'Part IX A-Scoring Criteria'!P406</f>
        <v>0</v>
      </c>
      <c r="Q1960" s="2079"/>
      <c r="R1960" s="2080"/>
      <c r="S1960" s="2073"/>
      <c r="T1960" s="2073"/>
      <c r="U1960" s="2073"/>
      <c r="V1960" s="2073"/>
      <c r="W1960" s="2073"/>
      <c r="X1960" s="2073"/>
      <c r="Y1960" s="2073"/>
      <c r="Z1960" s="2073"/>
    </row>
    <row r="1961" spans="1:26" ht="25.5">
      <c r="A1961" s="1976"/>
      <c r="B1961" s="2074"/>
      <c r="C1961" s="1996" t="s">
        <v>3681</v>
      </c>
      <c r="D1961" s="1939"/>
      <c r="E1961" s="1939"/>
      <c r="F1961" s="1939"/>
      <c r="G1961" s="1707" t="str">
        <f>'Part IX A-Scoring Criteria'!G407</f>
        <v>Macon Housing Authority</v>
      </c>
      <c r="H1961" s="1707">
        <f>'Part IX A-Scoring Criteria'!H407</f>
        <v>0</v>
      </c>
      <c r="I1961" s="1707">
        <f>'Part IX A-Scoring Criteria'!I407</f>
        <v>0</v>
      </c>
      <c r="J1961" s="2157" t="s">
        <v>3682</v>
      </c>
      <c r="K1961" s="2073"/>
      <c r="L1961" s="2158" t="str">
        <f>'Part IX A-Scoring Criteria'!L407</f>
        <v>2041</v>
      </c>
      <c r="M1961" s="1936"/>
      <c r="N1961" s="2048"/>
      <c r="O1961" s="2048"/>
      <c r="P1961" s="2048"/>
      <c r="Q1961" s="2079"/>
      <c r="R1961" s="2080"/>
      <c r="S1961" s="2073"/>
      <c r="T1961" s="2073"/>
      <c r="U1961" s="2073"/>
      <c r="V1961" s="2073"/>
      <c r="W1961" s="2073"/>
      <c r="X1961" s="2073"/>
      <c r="Y1961" s="2073"/>
      <c r="Z1961" s="2073"/>
    </row>
    <row r="1962" spans="1:26">
      <c r="A1962" s="1894"/>
      <c r="B1962" s="2074" t="s">
        <v>2004</v>
      </c>
      <c r="C1962" s="1961" t="s">
        <v>3416</v>
      </c>
      <c r="D1962" s="1961"/>
      <c r="E1962" s="1961"/>
      <c r="F1962" s="1961"/>
      <c r="G1962" s="1961"/>
      <c r="H1962" s="1961"/>
      <c r="I1962" s="1961"/>
      <c r="J1962" s="1961" t="s">
        <v>3680</v>
      </c>
      <c r="K1962" s="1961"/>
      <c r="L1962" s="1909">
        <v>0</v>
      </c>
      <c r="M1962" s="2159">
        <f>IF('Part VI-Revenues &amp; Expenses'!$O$62=0,0,L1962/'Part VI-Revenues &amp; Expenses'!$O$62)</f>
        <v>0</v>
      </c>
      <c r="N1962" s="2048" t="s">
        <v>2004</v>
      </c>
      <c r="O1962" s="1988" t="str">
        <f>'Part IX A-Scoring Criteria'!O408</f>
        <v>Agree</v>
      </c>
      <c r="P1962" s="1988">
        <f>'Part IX A-Scoring Criteria'!P408</f>
        <v>0</v>
      </c>
      <c r="Q1962" s="1961"/>
      <c r="R1962" s="1961"/>
      <c r="S1962" s="1961"/>
      <c r="T1962" s="1961"/>
      <c r="U1962" s="1961"/>
      <c r="V1962" s="1961"/>
      <c r="W1962" s="1961"/>
      <c r="X1962" s="1961"/>
      <c r="Y1962" s="1961"/>
      <c r="Z1962" s="1961"/>
    </row>
    <row r="1963" spans="1:26" ht="15">
      <c r="A1963" s="1629"/>
      <c r="B1963" s="2041" t="s">
        <v>3780</v>
      </c>
      <c r="C1963" s="1629"/>
      <c r="D1963" s="1830"/>
      <c r="E1963" s="1830"/>
      <c r="F1963" s="1830"/>
      <c r="G1963" s="1830"/>
      <c r="H1963" s="478"/>
      <c r="I1963" s="478"/>
      <c r="J1963" s="478"/>
      <c r="K1963" s="478"/>
      <c r="L1963" s="2022"/>
      <c r="M1963" s="1828"/>
      <c r="N1963" s="1824"/>
      <c r="O1963" s="2021"/>
      <c r="P1963" s="1826"/>
      <c r="Q1963" s="2022"/>
      <c r="R1963" s="2022"/>
      <c r="S1963" s="2022"/>
      <c r="T1963" s="2022"/>
      <c r="U1963" s="2022"/>
      <c r="V1963" s="2022"/>
      <c r="W1963" s="2022"/>
      <c r="X1963" s="2022"/>
      <c r="Y1963" s="2022"/>
      <c r="Z1963" s="2022"/>
    </row>
    <row r="1964" spans="1:26" ht="409.5">
      <c r="A1964" s="1936" t="str">
        <f>'Part IX A-Scoring Criteria'!A410</f>
        <v xml:space="preserve">Tindall Fields III qualifies for the maximum points for the following reasons.  First, we have a Section 8 PBRA commitment from MHA for 25 Section 8 Project Based Vouchers for 20 years (38% of the 65 total units). Please see Tabs 01-03-01, Tab 26-01, and Tab 41-01 for this documentation. Second, the Owner/Developer team has also agreed to allocate a minimum of 15% of the total units for the targeted population preference in accordance with the DCA requirements for this section.  Third, in 2015, the MHA Board of Commissioners adopted a “landmark” admissions preference in accordance with DCA requirements where MHA will accept referrals from Georgia DBHDD for the highest admissions preference possible for a Section 8 program preference. In 2015 MHA submitted the required letter to HUD pursuant to DCA’s guidance at that year’s “Housing Finance and Development Update # 39”. Following that, HUD Fair Housing approved MHA’s admissions preference and by letter dated June 8, 2016 MHA now has all final HUD approvals needed to implement this Section 8 admissions preference. All of this information is found at Tab 41-02. 
Furthermore, although this Tab doesn’t require us to have MOAs with local service providers, we have obtained two:  one from the River Edge Behavioral Health Center and another one from Disability Connections. Please see Tab 41-02-02 and 41-02-03 for this supporting documentation. 
Clearly, In-Fill Housing has fully embraced the underlying philosophy of Integrated Supportive Housing, and Tindall Fields III will be fully-compliant with the DCA requirements for the Target Population Preference.   
</v>
      </c>
      <c r="B1964" s="1936">
        <f>'Part IX A-Scoring Criteria'!B410</f>
        <v>0</v>
      </c>
      <c r="C1964" s="1936">
        <f>'Part IX A-Scoring Criteria'!C410</f>
        <v>0</v>
      </c>
      <c r="D1964" s="1936">
        <f>'Part IX A-Scoring Criteria'!D410</f>
        <v>0</v>
      </c>
      <c r="E1964" s="1936">
        <f>'Part IX A-Scoring Criteria'!E410</f>
        <v>0</v>
      </c>
      <c r="F1964" s="1936">
        <f>'Part IX A-Scoring Criteria'!F410</f>
        <v>0</v>
      </c>
      <c r="G1964" s="1936">
        <f>'Part IX A-Scoring Criteria'!G410</f>
        <v>0</v>
      </c>
      <c r="H1964" s="1936">
        <f>'Part IX A-Scoring Criteria'!H410</f>
        <v>0</v>
      </c>
      <c r="I1964" s="1936">
        <f>'Part IX A-Scoring Criteria'!I410</f>
        <v>0</v>
      </c>
      <c r="J1964" s="1936">
        <f>'Part IX A-Scoring Criteria'!J410</f>
        <v>0</v>
      </c>
      <c r="K1964" s="1936">
        <f>'Part IX A-Scoring Criteria'!K410</f>
        <v>0</v>
      </c>
      <c r="L1964" s="1936">
        <f>'Part IX A-Scoring Criteria'!L410</f>
        <v>0</v>
      </c>
      <c r="M1964" s="1936">
        <f>'Part IX A-Scoring Criteria'!M410</f>
        <v>0</v>
      </c>
      <c r="N1964" s="1936">
        <f>'Part IX A-Scoring Criteria'!N410</f>
        <v>0</v>
      </c>
      <c r="O1964" s="1936">
        <f>'Part IX A-Scoring Criteria'!O410</f>
        <v>0</v>
      </c>
      <c r="P1964" s="1936">
        <f>'Part IX A-Scoring Criteria'!P410</f>
        <v>0</v>
      </c>
      <c r="Q1964" s="2030"/>
      <c r="R1964" s="2030"/>
      <c r="S1964" s="2022"/>
      <c r="T1964" s="2022"/>
      <c r="U1964" s="2022"/>
      <c r="V1964" s="2022"/>
      <c r="W1964" s="2022"/>
      <c r="X1964" s="2022"/>
      <c r="Y1964" s="2022"/>
      <c r="Z1964" s="2022"/>
    </row>
    <row r="1965" spans="1:26" ht="15">
      <c r="A1965" s="2022"/>
      <c r="B1965" s="1937" t="s">
        <v>1880</v>
      </c>
      <c r="C1965" s="1629"/>
      <c r="D1965" s="1937"/>
      <c r="E1965" s="1939"/>
      <c r="F1965" s="1939"/>
      <c r="G1965" s="1939"/>
      <c r="H1965" s="1939"/>
      <c r="I1965" s="1939"/>
      <c r="J1965" s="1939"/>
      <c r="K1965" s="1939"/>
      <c r="L1965" s="1939"/>
      <c r="M1965" s="1939"/>
      <c r="N1965" s="2057"/>
      <c r="O1965" s="2028"/>
      <c r="P1965" s="1837"/>
      <c r="Q1965" s="2053"/>
      <c r="R1965" s="2022"/>
      <c r="S1965" s="2022"/>
      <c r="T1965" s="2022"/>
      <c r="U1965" s="2022"/>
      <c r="V1965" s="2022"/>
      <c r="W1965" s="2022"/>
      <c r="X1965" s="2022"/>
      <c r="Y1965" s="2022"/>
      <c r="Z1965" s="2022"/>
    </row>
    <row r="1966" spans="1:26" ht="15.75">
      <c r="A1966" s="1936">
        <f>'Part IX A-Scoring Criteria'!A412</f>
        <v>0</v>
      </c>
      <c r="B1966" s="1936">
        <f>'Part IX A-Scoring Criteria'!B412</f>
        <v>0</v>
      </c>
      <c r="C1966" s="1936">
        <f>'Part IX A-Scoring Criteria'!C412</f>
        <v>0</v>
      </c>
      <c r="D1966" s="1936">
        <f>'Part IX A-Scoring Criteria'!D412</f>
        <v>0</v>
      </c>
      <c r="E1966" s="1936">
        <f>'Part IX A-Scoring Criteria'!E412</f>
        <v>0</v>
      </c>
      <c r="F1966" s="1936">
        <f>'Part IX A-Scoring Criteria'!F412</f>
        <v>0</v>
      </c>
      <c r="G1966" s="1936">
        <f>'Part IX A-Scoring Criteria'!G412</f>
        <v>0</v>
      </c>
      <c r="H1966" s="1936">
        <f>'Part IX A-Scoring Criteria'!H412</f>
        <v>0</v>
      </c>
      <c r="I1966" s="1936">
        <f>'Part IX A-Scoring Criteria'!I412</f>
        <v>0</v>
      </c>
      <c r="J1966" s="1936">
        <f>'Part IX A-Scoring Criteria'!J412</f>
        <v>0</v>
      </c>
      <c r="K1966" s="1936">
        <f>'Part IX A-Scoring Criteria'!K412</f>
        <v>0</v>
      </c>
      <c r="L1966" s="1936">
        <f>'Part IX A-Scoring Criteria'!L412</f>
        <v>0</v>
      </c>
      <c r="M1966" s="1936">
        <f>'Part IX A-Scoring Criteria'!M412</f>
        <v>0</v>
      </c>
      <c r="N1966" s="1936">
        <f>'Part IX A-Scoring Criteria'!N412</f>
        <v>0</v>
      </c>
      <c r="O1966" s="1936">
        <f>'Part IX A-Scoring Criteria'!O412</f>
        <v>0</v>
      </c>
      <c r="P1966" s="1936">
        <f>'Part IX A-Scoring Criteria'!P412</f>
        <v>0</v>
      </c>
      <c r="Q1966" s="2030"/>
      <c r="R1966" s="2022"/>
      <c r="S1966" s="2022"/>
      <c r="T1966" s="2022"/>
      <c r="U1966" s="2022"/>
      <c r="V1966" s="2022"/>
      <c r="W1966" s="2022"/>
      <c r="X1966" s="2022"/>
      <c r="Y1966" s="2022"/>
      <c r="Z1966" s="2022"/>
    </row>
    <row r="1967" spans="1:26" ht="15">
      <c r="A1967" s="1629"/>
      <c r="B1967" s="1629"/>
      <c r="C1967" s="1939"/>
      <c r="D1967" s="1939"/>
      <c r="E1967" s="1939"/>
      <c r="F1967" s="1939"/>
      <c r="G1967" s="1939"/>
      <c r="H1967" s="1939"/>
      <c r="I1967" s="1939"/>
      <c r="J1967" s="1939"/>
      <c r="K1967" s="1939"/>
      <c r="L1967" s="1939"/>
      <c r="M1967" s="1939"/>
      <c r="N1967" s="2057"/>
      <c r="O1967" s="2028"/>
      <c r="P1967" s="1837"/>
      <c r="Q1967" s="2022"/>
      <c r="R1967" s="2022"/>
      <c r="S1967" s="2022"/>
      <c r="T1967" s="2022"/>
      <c r="U1967" s="2022"/>
      <c r="V1967" s="2022"/>
      <c r="W1967" s="2022"/>
      <c r="X1967" s="2022"/>
      <c r="Y1967" s="2022"/>
      <c r="Z1967" s="2022"/>
    </row>
    <row r="1968" spans="1:26" ht="15">
      <c r="A1968" s="2023" t="s">
        <v>4151</v>
      </c>
      <c r="B1968" s="2024" t="s">
        <v>2739</v>
      </c>
      <c r="C1968" s="2022"/>
      <c r="D1968" s="1872"/>
      <c r="E1968" s="2022"/>
      <c r="F1968" s="2022"/>
      <c r="G1968" s="2071" t="s">
        <v>3412</v>
      </c>
      <c r="H1968" s="2022"/>
      <c r="I1968" s="2022"/>
      <c r="J1968" s="478" t="s">
        <v>3418</v>
      </c>
      <c r="K1968" s="2040"/>
      <c r="L1968" s="1910">
        <f>'Part VI-Revenues &amp; Expenses'!$O$84</f>
        <v>0</v>
      </c>
      <c r="M1968" s="1837">
        <v>1</v>
      </c>
      <c r="N1968" s="1977"/>
      <c r="O1968" s="1837">
        <f>'Part IX A-Scoring Criteria'!O414</f>
        <v>0</v>
      </c>
      <c r="P1968" s="1837">
        <f>'Part IX A-Scoring Criteria'!P414</f>
        <v>0</v>
      </c>
      <c r="Q1968" s="1837" t="s">
        <v>443</v>
      </c>
      <c r="R1968" s="1985" t="str">
        <f>IF(OR($O1972=$M1968,$O1972=0,$O1972=""),"","* * Check Score! * *")</f>
        <v/>
      </c>
      <c r="S1968" s="2022"/>
      <c r="T1968" s="2022"/>
      <c r="U1968" s="2022"/>
      <c r="V1968" s="2022"/>
      <c r="W1968" s="2022"/>
      <c r="X1968" s="2022"/>
      <c r="Y1968" s="2022"/>
      <c r="Z1968" s="2022"/>
    </row>
    <row r="1969" spans="1:26" ht="15">
      <c r="A1969" s="2073"/>
      <c r="B1969" s="2074"/>
      <c r="C1969" s="2073"/>
      <c r="D1969" s="2073"/>
      <c r="E1969" s="2073"/>
      <c r="F1969" s="1991"/>
      <c r="G1969" s="1836"/>
      <c r="H1969" s="2073"/>
      <c r="I1969" s="2073"/>
      <c r="J1969" s="2073"/>
      <c r="K1969" s="2073"/>
      <c r="L1969" s="2073"/>
      <c r="M1969" s="2075"/>
      <c r="N1969" s="2075"/>
      <c r="O1969" s="2075"/>
      <c r="P1969" s="2075"/>
      <c r="Q1969" s="1631"/>
      <c r="R1969" s="2073"/>
      <c r="S1969" s="2073"/>
      <c r="T1969" s="2073"/>
      <c r="U1969" s="2073"/>
      <c r="V1969" s="2073"/>
      <c r="W1969" s="2073"/>
      <c r="X1969" s="2073"/>
      <c r="Y1969" s="2073"/>
      <c r="Z1969" s="2073"/>
    </row>
    <row r="1970" spans="1:26" ht="15">
      <c r="A1970" s="2149"/>
      <c r="B1970" s="2090" t="s">
        <v>3484</v>
      </c>
      <c r="C1970" s="2073"/>
      <c r="D1970" s="478" t="str">
        <f>'Part IX A-Scoring Criteria'!D416</f>
        <v>&lt;&lt;Select applicable status&gt;&gt;</v>
      </c>
      <c r="E1970" s="478">
        <f>'Part IX A-Scoring Criteria'!E416</f>
        <v>0</v>
      </c>
      <c r="F1970" s="478">
        <f>'Part IX A-Scoring Criteria'!F416</f>
        <v>0</v>
      </c>
      <c r="G1970" s="478">
        <f>'Part IX A-Scoring Criteria'!G416</f>
        <v>0</v>
      </c>
      <c r="H1970" s="478">
        <f>'Part IX A-Scoring Criteria'!H416</f>
        <v>0</v>
      </c>
      <c r="I1970" s="478">
        <f>'Part IX A-Scoring Criteria'!I416</f>
        <v>0</v>
      </c>
      <c r="J1970" s="1961" t="s">
        <v>2849</v>
      </c>
      <c r="K1970" s="2073"/>
      <c r="L1970" s="1910">
        <f>'Part III-Sources of Funds'!$I$51</f>
        <v>0</v>
      </c>
      <c r="M1970" s="2075"/>
      <c r="N1970" s="2075"/>
      <c r="O1970" s="2075"/>
      <c r="P1970" s="2075"/>
      <c r="Q1970" s="1631"/>
      <c r="R1970" s="2073"/>
      <c r="S1970" s="2073"/>
      <c r="T1970" s="2073"/>
      <c r="U1970" s="2073"/>
      <c r="V1970" s="2073"/>
      <c r="W1970" s="2073"/>
      <c r="X1970" s="2073"/>
      <c r="Y1970" s="2073"/>
      <c r="Z1970" s="2073"/>
    </row>
    <row r="1971" spans="1:26" ht="15">
      <c r="A1971" s="2073"/>
      <c r="B1971" s="2074"/>
      <c r="C1971" s="2073"/>
      <c r="D1971" s="2073"/>
      <c r="E1971" s="2073"/>
      <c r="F1971" s="2073"/>
      <c r="G1971" s="2073"/>
      <c r="H1971" s="2073"/>
      <c r="I1971" s="2073"/>
      <c r="J1971" s="2073"/>
      <c r="K1971" s="2073"/>
      <c r="L1971" s="2073"/>
      <c r="M1971" s="2075"/>
      <c r="N1971" s="2075"/>
      <c r="O1971" s="2075"/>
      <c r="P1971" s="2075"/>
      <c r="Q1971" s="1631"/>
      <c r="R1971" s="2073"/>
      <c r="S1971" s="2073"/>
      <c r="T1971" s="2073"/>
      <c r="U1971" s="2073"/>
      <c r="V1971" s="2073"/>
      <c r="W1971" s="2073"/>
      <c r="X1971" s="2073"/>
      <c r="Y1971" s="2073"/>
      <c r="Z1971" s="2073"/>
    </row>
    <row r="1972" spans="1:26" ht="15">
      <c r="A1972" s="2160" t="s">
        <v>1999</v>
      </c>
      <c r="B1972" s="1933" t="s">
        <v>4851</v>
      </c>
      <c r="C1972" s="1961"/>
      <c r="D1972" s="1961"/>
      <c r="E1972" s="1961"/>
      <c r="F1972" s="1961"/>
      <c r="G1972" s="1961"/>
      <c r="H1972" s="1961"/>
      <c r="I1972" s="1961"/>
      <c r="J1972" s="2073"/>
      <c r="K1972" s="2073"/>
      <c r="L1972" s="2073"/>
      <c r="M1972" s="2075">
        <v>1</v>
      </c>
      <c r="N1972" s="1987" t="s">
        <v>1999</v>
      </c>
      <c r="O1972" s="2021">
        <f>'Part IX A-Scoring Criteria'!O418</f>
        <v>0</v>
      </c>
      <c r="P1972" s="2021">
        <f>'Part IX A-Scoring Criteria'!P418</f>
        <v>0</v>
      </c>
      <c r="Q1972" s="2061" t="str">
        <f>IF(OR($O1972=$M1972,$O1972=0,$O1972=""),"","*CHECK!*")</f>
        <v/>
      </c>
      <c r="R1972" s="2105" t="s">
        <v>2724</v>
      </c>
      <c r="S1972" s="2073"/>
      <c r="T1972" s="2073"/>
      <c r="U1972" s="2073"/>
      <c r="V1972" s="2073"/>
      <c r="W1972" s="2073"/>
      <c r="X1972" s="2073"/>
      <c r="Y1972" s="2073"/>
      <c r="Z1972" s="2073"/>
    </row>
    <row r="1973" spans="1:26" ht="15" customHeight="1">
      <c r="A1973" s="2079"/>
      <c r="B1973" s="1901" t="s">
        <v>4246</v>
      </c>
      <c r="C1973" s="1901"/>
      <c r="D1973" s="1901"/>
      <c r="E1973" s="1901"/>
      <c r="F1973" s="1901"/>
      <c r="G1973" s="1901"/>
      <c r="H1973" s="1901"/>
      <c r="I1973" s="1901"/>
      <c r="J1973" s="1901"/>
      <c r="K1973" s="1901"/>
      <c r="L1973" s="1901"/>
      <c r="M1973" s="1936" t="s">
        <v>4852</v>
      </c>
      <c r="N1973" s="1936"/>
      <c r="O1973" s="2073"/>
      <c r="P1973" s="2073"/>
      <c r="Q1973" s="1631"/>
      <c r="R1973" s="2073"/>
      <c r="S1973" s="2073"/>
      <c r="T1973" s="2073"/>
      <c r="U1973" s="2073"/>
      <c r="V1973" s="2073"/>
      <c r="W1973" s="2073"/>
      <c r="X1973" s="2073"/>
      <c r="Y1973" s="2073"/>
      <c r="Z1973" s="2073"/>
    </row>
    <row r="1974" spans="1:26" ht="15">
      <c r="A1974" s="2073"/>
      <c r="B1974" s="1901"/>
      <c r="C1974" s="1901"/>
      <c r="D1974" s="1901"/>
      <c r="E1974" s="1901"/>
      <c r="F1974" s="1901"/>
      <c r="G1974" s="1901"/>
      <c r="H1974" s="1901"/>
      <c r="I1974" s="1901"/>
      <c r="J1974" s="1901"/>
      <c r="K1974" s="1901"/>
      <c r="L1974" s="1901"/>
      <c r="M1974" s="1936"/>
      <c r="N1974" s="1936"/>
      <c r="O1974" s="2161">
        <f>'Part VI-Revenues &amp; Expenses'!$O$82</f>
        <v>0</v>
      </c>
      <c r="P1974" s="2161"/>
      <c r="Q1974" s="1631"/>
      <c r="R1974" s="2073"/>
      <c r="S1974" s="2073"/>
      <c r="T1974" s="2073"/>
      <c r="U1974" s="2073"/>
      <c r="V1974" s="2073"/>
      <c r="W1974" s="2073"/>
      <c r="X1974" s="2073"/>
      <c r="Y1974" s="2073"/>
      <c r="Z1974" s="2073"/>
    </row>
    <row r="1975" spans="1:26" ht="15">
      <c r="A1975" s="2073"/>
      <c r="B1975" s="1901"/>
      <c r="C1975" s="1901"/>
      <c r="D1975" s="1901"/>
      <c r="E1975" s="1901"/>
      <c r="F1975" s="1901"/>
      <c r="G1975" s="1901"/>
      <c r="H1975" s="1901"/>
      <c r="I1975" s="1901"/>
      <c r="J1975" s="1901"/>
      <c r="K1975" s="1901"/>
      <c r="L1975" s="1901"/>
      <c r="M1975" s="1872" t="s">
        <v>2847</v>
      </c>
      <c r="N1975" s="2075"/>
      <c r="O1975" s="2161">
        <f>'Part VI-Revenues &amp; Expenses'!$O$62</f>
        <v>65</v>
      </c>
      <c r="P1975" s="2161"/>
      <c r="Q1975" s="1631"/>
      <c r="R1975" s="2073"/>
      <c r="S1975" s="2073"/>
      <c r="T1975" s="2073"/>
      <c r="U1975" s="2073"/>
      <c r="V1975" s="2073"/>
      <c r="W1975" s="2073"/>
      <c r="X1975" s="2073"/>
      <c r="Y1975" s="2073"/>
      <c r="Z1975" s="2073"/>
    </row>
    <row r="1976" spans="1:26" ht="15">
      <c r="A1976" s="2073"/>
      <c r="B1976" s="1901"/>
      <c r="C1976" s="1901"/>
      <c r="D1976" s="1901"/>
      <c r="E1976" s="1901"/>
      <c r="F1976" s="1901"/>
      <c r="G1976" s="1901"/>
      <c r="H1976" s="1901"/>
      <c r="I1976" s="1901"/>
      <c r="J1976" s="1901"/>
      <c r="K1976" s="1901"/>
      <c r="L1976" s="1901"/>
      <c r="M1976" s="1872" t="s">
        <v>2848</v>
      </c>
      <c r="N1976" s="2075"/>
      <c r="O1976" s="2162">
        <f>IF(O1975=0,0,O1974/O1975)</f>
        <v>0</v>
      </c>
      <c r="P1976" s="2162"/>
      <c r="Q1976" s="1631"/>
      <c r="R1976" s="2073"/>
      <c r="S1976" s="2073"/>
      <c r="T1976" s="2073"/>
      <c r="U1976" s="2073"/>
      <c r="V1976" s="2073"/>
      <c r="W1976" s="2073"/>
      <c r="X1976" s="2073"/>
      <c r="Y1976" s="2073"/>
      <c r="Z1976" s="2073"/>
    </row>
    <row r="1977" spans="1:26" ht="15.75" customHeight="1">
      <c r="A1977" s="1894"/>
      <c r="B1977" s="1707" t="str">
        <f>'Part IX A-Scoring Criteria'!B423</f>
        <v>&lt;&lt; Enter here Applicant's Narrative of how building will be reused. Adjust row height as needed. &gt;&gt;</v>
      </c>
      <c r="C1977" s="1707">
        <f>'Part IX A-Scoring Criteria'!C423</f>
        <v>0</v>
      </c>
      <c r="D1977" s="1707">
        <f>'Part IX A-Scoring Criteria'!D423</f>
        <v>0</v>
      </c>
      <c r="E1977" s="1707">
        <f>'Part IX A-Scoring Criteria'!E423</f>
        <v>0</v>
      </c>
      <c r="F1977" s="1707">
        <f>'Part IX A-Scoring Criteria'!F423</f>
        <v>0</v>
      </c>
      <c r="G1977" s="1707">
        <f>'Part IX A-Scoring Criteria'!G423</f>
        <v>0</v>
      </c>
      <c r="H1977" s="1707">
        <f>'Part IX A-Scoring Criteria'!H423</f>
        <v>0</v>
      </c>
      <c r="I1977" s="1707">
        <f>'Part IX A-Scoring Criteria'!I423</f>
        <v>0</v>
      </c>
      <c r="J1977" s="1707">
        <f>'Part IX A-Scoring Criteria'!J423</f>
        <v>0</v>
      </c>
      <c r="K1977" s="1707">
        <f>'Part IX A-Scoring Criteria'!K423</f>
        <v>0</v>
      </c>
      <c r="L1977" s="1707">
        <f>'Part IX A-Scoring Criteria'!L423</f>
        <v>0</v>
      </c>
      <c r="M1977" s="1707">
        <f>'Part IX A-Scoring Criteria'!M423</f>
        <v>0</v>
      </c>
      <c r="N1977" s="1707">
        <f>'Part IX A-Scoring Criteria'!N423</f>
        <v>0</v>
      </c>
      <c r="O1977" s="1707">
        <f>'Part IX A-Scoring Criteria'!O423</f>
        <v>0</v>
      </c>
      <c r="P1977" s="1707">
        <f>'Part IX A-Scoring Criteria'!P423</f>
        <v>0</v>
      </c>
      <c r="Q1977" s="2030"/>
      <c r="R1977" s="2030"/>
      <c r="S1977" s="2030"/>
      <c r="T1977" s="2022"/>
      <c r="U1977" s="2022"/>
      <c r="V1977" s="2022"/>
      <c r="W1977" s="2022"/>
      <c r="X1977" s="2022"/>
      <c r="Y1977" s="2022"/>
      <c r="Z1977" s="2022"/>
    </row>
    <row r="1978" spans="1:26" ht="15">
      <c r="A1978" s="1942"/>
      <c r="B1978" s="2074"/>
      <c r="C1978" s="2073"/>
      <c r="D1978" s="2073"/>
      <c r="E1978" s="2073"/>
      <c r="F1978" s="1991"/>
      <c r="G1978" s="1836"/>
      <c r="H1978" s="2073"/>
      <c r="I1978" s="2073"/>
      <c r="J1978" s="2073"/>
      <c r="K1978" s="2073"/>
      <c r="L1978" s="2073"/>
      <c r="M1978" s="2075"/>
      <c r="N1978" s="2075"/>
      <c r="O1978" s="2075"/>
      <c r="P1978" s="2075"/>
      <c r="Q1978" s="1631"/>
      <c r="R1978" s="2073"/>
      <c r="S1978" s="2073"/>
      <c r="T1978" s="2073"/>
      <c r="U1978" s="2073"/>
      <c r="V1978" s="2073"/>
      <c r="W1978" s="2073"/>
      <c r="X1978" s="2073"/>
      <c r="Y1978" s="2073"/>
      <c r="Z1978" s="2073"/>
    </row>
    <row r="1979" spans="1:26" ht="15">
      <c r="A1979" s="2163" t="s">
        <v>4853</v>
      </c>
      <c r="B1979" s="1932" t="s">
        <v>3378</v>
      </c>
      <c r="C1979" s="1961"/>
      <c r="D1979" s="2073"/>
      <c r="E1979" s="2073"/>
      <c r="F1979" s="2073"/>
      <c r="G1979" s="2073"/>
      <c r="H1979" s="1961"/>
      <c r="I1979" s="2073"/>
      <c r="J1979" s="2073"/>
      <c r="K1979" s="2073"/>
      <c r="L1979" s="2073"/>
      <c r="M1979" s="2075">
        <v>1</v>
      </c>
      <c r="N1979" s="1987" t="s">
        <v>2001</v>
      </c>
      <c r="O1979" s="2021">
        <f>'Part IX A-Scoring Criteria'!O425</f>
        <v>0</v>
      </c>
      <c r="P1979" s="2021">
        <f>'Part IX A-Scoring Criteria'!P425</f>
        <v>0</v>
      </c>
      <c r="Q1979" s="2061" t="str">
        <f>IF(OR($O1979=$M1979,$O1979=0,$O1979=""),"","*CHECK!*")</f>
        <v/>
      </c>
      <c r="R1979" s="2105" t="s">
        <v>2724</v>
      </c>
      <c r="S1979" s="2073"/>
      <c r="T1979" s="2073"/>
      <c r="U1979" s="2073"/>
      <c r="V1979" s="2073"/>
      <c r="W1979" s="2073"/>
      <c r="X1979" s="2073"/>
      <c r="Y1979" s="2073"/>
      <c r="Z1979" s="2073"/>
    </row>
    <row r="1980" spans="1:26" ht="15" customHeight="1">
      <c r="A1980" s="2163"/>
      <c r="B1980" s="1936" t="s">
        <v>4247</v>
      </c>
      <c r="C1980" s="1936"/>
      <c r="D1980" s="1936"/>
      <c r="E1980" s="1936"/>
      <c r="F1980" s="1936"/>
      <c r="G1980" s="1936"/>
      <c r="H1980" s="1936"/>
      <c r="I1980" s="1936"/>
      <c r="J1980" s="1936"/>
      <c r="K1980" s="1936"/>
      <c r="L1980" s="1936"/>
      <c r="M1980" s="1996" t="s">
        <v>2847</v>
      </c>
      <c r="N1980" s="2075"/>
      <c r="O1980" s="2161">
        <f>'Part VI-Revenues &amp; Expenses'!$O$62</f>
        <v>65</v>
      </c>
      <c r="P1980" s="2161"/>
      <c r="Q1980" s="1631"/>
      <c r="R1980" s="2073"/>
      <c r="S1980" s="2073"/>
      <c r="T1980" s="2073"/>
      <c r="U1980" s="2073"/>
      <c r="V1980" s="2073"/>
      <c r="W1980" s="2073"/>
      <c r="X1980" s="2073"/>
      <c r="Y1980" s="2073"/>
      <c r="Z1980" s="2073"/>
    </row>
    <row r="1981" spans="1:26" ht="15">
      <c r="A1981" s="2163"/>
      <c r="B1981" s="1936"/>
      <c r="C1981" s="1936"/>
      <c r="D1981" s="1936"/>
      <c r="E1981" s="1936"/>
      <c r="F1981" s="1936"/>
      <c r="G1981" s="1936"/>
      <c r="H1981" s="1936"/>
      <c r="I1981" s="1936"/>
      <c r="J1981" s="1936"/>
      <c r="K1981" s="1936"/>
      <c r="L1981" s="1936"/>
      <c r="M1981" s="1872" t="s">
        <v>2848</v>
      </c>
      <c r="N1981" s="2075"/>
      <c r="O1981" s="2162">
        <f>IF(O1980=0,0,L1968/O1980)</f>
        <v>0</v>
      </c>
      <c r="P1981" s="2162"/>
      <c r="Q1981" s="1631"/>
      <c r="R1981" s="2073"/>
      <c r="S1981" s="2073"/>
      <c r="T1981" s="2073"/>
      <c r="U1981" s="2073"/>
      <c r="V1981" s="2073"/>
      <c r="W1981" s="2073"/>
      <c r="X1981" s="2073"/>
      <c r="Y1981" s="2073"/>
      <c r="Z1981" s="2073"/>
    </row>
    <row r="1982" spans="1:26" ht="15">
      <c r="A1982" s="1629"/>
      <c r="B1982" s="2041" t="s">
        <v>3780</v>
      </c>
      <c r="C1982" s="1629"/>
      <c r="D1982" s="1830"/>
      <c r="E1982" s="1830"/>
      <c r="F1982" s="1830"/>
      <c r="G1982" s="1830"/>
      <c r="H1982" s="478"/>
      <c r="I1982" s="478"/>
      <c r="J1982" s="478"/>
      <c r="K1982" s="478"/>
      <c r="L1982" s="2022"/>
      <c r="M1982" s="1828"/>
      <c r="N1982" s="1824"/>
      <c r="O1982" s="2021"/>
      <c r="P1982" s="1826"/>
      <c r="Q1982" s="2022"/>
      <c r="R1982" s="2022"/>
      <c r="S1982" s="2022"/>
      <c r="T1982" s="2022"/>
      <c r="U1982" s="2022"/>
      <c r="V1982" s="2022"/>
      <c r="W1982" s="2022"/>
      <c r="X1982" s="2022"/>
      <c r="Y1982" s="2022"/>
      <c r="Z1982" s="2022"/>
    </row>
    <row r="1983" spans="1:26" ht="15.75">
      <c r="A1983" s="1936" t="str">
        <f>'Part IX A-Scoring Criteria'!A429</f>
        <v>N/A</v>
      </c>
      <c r="B1983" s="1936">
        <f>'Part IX A-Scoring Criteria'!B429</f>
        <v>0</v>
      </c>
      <c r="C1983" s="1936">
        <f>'Part IX A-Scoring Criteria'!C429</f>
        <v>0</v>
      </c>
      <c r="D1983" s="1936">
        <f>'Part IX A-Scoring Criteria'!D429</f>
        <v>0</v>
      </c>
      <c r="E1983" s="1936">
        <f>'Part IX A-Scoring Criteria'!E429</f>
        <v>0</v>
      </c>
      <c r="F1983" s="1936">
        <f>'Part IX A-Scoring Criteria'!F429</f>
        <v>0</v>
      </c>
      <c r="G1983" s="1936">
        <f>'Part IX A-Scoring Criteria'!G429</f>
        <v>0</v>
      </c>
      <c r="H1983" s="1936">
        <f>'Part IX A-Scoring Criteria'!H429</f>
        <v>0</v>
      </c>
      <c r="I1983" s="1936">
        <f>'Part IX A-Scoring Criteria'!I429</f>
        <v>0</v>
      </c>
      <c r="J1983" s="1936">
        <f>'Part IX A-Scoring Criteria'!J429</f>
        <v>0</v>
      </c>
      <c r="K1983" s="1936">
        <f>'Part IX A-Scoring Criteria'!K429</f>
        <v>0</v>
      </c>
      <c r="L1983" s="1936">
        <f>'Part IX A-Scoring Criteria'!L429</f>
        <v>0</v>
      </c>
      <c r="M1983" s="1936">
        <f>'Part IX A-Scoring Criteria'!M429</f>
        <v>0</v>
      </c>
      <c r="N1983" s="1936">
        <f>'Part IX A-Scoring Criteria'!N429</f>
        <v>0</v>
      </c>
      <c r="O1983" s="1936">
        <f>'Part IX A-Scoring Criteria'!O429</f>
        <v>0</v>
      </c>
      <c r="P1983" s="1936">
        <f>'Part IX A-Scoring Criteria'!P429</f>
        <v>0</v>
      </c>
      <c r="Q1983" s="2030"/>
      <c r="R1983" s="2030"/>
      <c r="S1983" s="2022"/>
      <c r="T1983" s="2022"/>
      <c r="U1983" s="2022"/>
      <c r="V1983" s="2022"/>
      <c r="W1983" s="2022"/>
      <c r="X1983" s="2022"/>
      <c r="Y1983" s="2022"/>
      <c r="Z1983" s="2022"/>
    </row>
    <row r="1984" spans="1:26" ht="15">
      <c r="A1984" s="2022"/>
      <c r="B1984" s="1937" t="s">
        <v>1880</v>
      </c>
      <c r="C1984" s="1629"/>
      <c r="D1984" s="1937"/>
      <c r="E1984" s="1939"/>
      <c r="F1984" s="1939"/>
      <c r="G1984" s="1939"/>
      <c r="H1984" s="1939"/>
      <c r="I1984" s="1939"/>
      <c r="J1984" s="1939"/>
      <c r="K1984" s="1939"/>
      <c r="L1984" s="1939"/>
      <c r="M1984" s="1939"/>
      <c r="N1984" s="2057"/>
      <c r="O1984" s="2028"/>
      <c r="P1984" s="1837"/>
      <c r="Q1984" s="2053"/>
      <c r="R1984" s="2022"/>
      <c r="S1984" s="2022"/>
      <c r="T1984" s="2022"/>
      <c r="U1984" s="2022"/>
      <c r="V1984" s="2022"/>
      <c r="W1984" s="2022"/>
      <c r="X1984" s="2022"/>
      <c r="Y1984" s="2022"/>
      <c r="Z1984" s="2022"/>
    </row>
    <row r="1985" spans="1:26" ht="15.75">
      <c r="A1985" s="1936">
        <f>'Part IX A-Scoring Criteria'!A431</f>
        <v>0</v>
      </c>
      <c r="B1985" s="1936">
        <f>'Part IX A-Scoring Criteria'!B431</f>
        <v>0</v>
      </c>
      <c r="C1985" s="1936">
        <f>'Part IX A-Scoring Criteria'!C431</f>
        <v>0</v>
      </c>
      <c r="D1985" s="1936">
        <f>'Part IX A-Scoring Criteria'!D431</f>
        <v>0</v>
      </c>
      <c r="E1985" s="1936">
        <f>'Part IX A-Scoring Criteria'!E431</f>
        <v>0</v>
      </c>
      <c r="F1985" s="1936">
        <f>'Part IX A-Scoring Criteria'!F431</f>
        <v>0</v>
      </c>
      <c r="G1985" s="1936">
        <f>'Part IX A-Scoring Criteria'!G431</f>
        <v>0</v>
      </c>
      <c r="H1985" s="1936">
        <f>'Part IX A-Scoring Criteria'!H431</f>
        <v>0</v>
      </c>
      <c r="I1985" s="1936">
        <f>'Part IX A-Scoring Criteria'!I431</f>
        <v>0</v>
      </c>
      <c r="J1985" s="1936">
        <f>'Part IX A-Scoring Criteria'!J431</f>
        <v>0</v>
      </c>
      <c r="K1985" s="1936">
        <f>'Part IX A-Scoring Criteria'!K431</f>
        <v>0</v>
      </c>
      <c r="L1985" s="1936">
        <f>'Part IX A-Scoring Criteria'!L431</f>
        <v>0</v>
      </c>
      <c r="M1985" s="1936">
        <f>'Part IX A-Scoring Criteria'!M431</f>
        <v>0</v>
      </c>
      <c r="N1985" s="1936">
        <f>'Part IX A-Scoring Criteria'!N431</f>
        <v>0</v>
      </c>
      <c r="O1985" s="1936">
        <f>'Part IX A-Scoring Criteria'!O431</f>
        <v>0</v>
      </c>
      <c r="P1985" s="1936">
        <f>'Part IX A-Scoring Criteria'!P431</f>
        <v>0</v>
      </c>
      <c r="Q1985" s="2030"/>
      <c r="R1985" s="2022"/>
      <c r="S1985" s="2022"/>
      <c r="T1985" s="2022"/>
      <c r="U1985" s="2022"/>
      <c r="V1985" s="2022"/>
      <c r="W1985" s="2022"/>
      <c r="X1985" s="2022"/>
      <c r="Y1985" s="2022"/>
      <c r="Z1985" s="2022"/>
    </row>
    <row r="1986" spans="1:26" ht="15">
      <c r="A1986" s="1629"/>
      <c r="B1986" s="1629"/>
      <c r="C1986" s="1939"/>
      <c r="D1986" s="1939"/>
      <c r="E1986" s="1939"/>
      <c r="F1986" s="1939"/>
      <c r="G1986" s="1939"/>
      <c r="H1986" s="1939"/>
      <c r="I1986" s="1939"/>
      <c r="J1986" s="1939"/>
      <c r="K1986" s="1939"/>
      <c r="L1986" s="1939"/>
      <c r="M1986" s="1939"/>
      <c r="N1986" s="2057"/>
      <c r="O1986" s="2028"/>
      <c r="P1986" s="1837"/>
      <c r="Q1986" s="2022"/>
      <c r="R1986" s="2022"/>
      <c r="S1986" s="2022"/>
      <c r="T1986" s="2022"/>
      <c r="U1986" s="2022"/>
      <c r="V1986" s="2022"/>
      <c r="W1986" s="2022"/>
      <c r="X1986" s="2022"/>
      <c r="Y1986" s="2022"/>
      <c r="Z1986" s="2022"/>
    </row>
    <row r="1987" spans="1:26" ht="15">
      <c r="A1987" s="2149" t="s">
        <v>4152</v>
      </c>
      <c r="B1987" s="2024" t="s">
        <v>1686</v>
      </c>
      <c r="C1987" s="2040"/>
      <c r="D1987" s="2041"/>
      <c r="E1987" s="2041"/>
      <c r="F1987" s="478"/>
      <c r="G1987" s="478"/>
      <c r="H1987" s="2040"/>
      <c r="I1987" s="478"/>
      <c r="J1987" s="478"/>
      <c r="K1987" s="478"/>
      <c r="L1987" s="1985" t="str">
        <f>IF(OR($O1987=$M1987,$O1987&lt;=0,$O1987=""),"","* * Check Score! * *")</f>
        <v/>
      </c>
      <c r="M1987" s="1837">
        <v>10</v>
      </c>
      <c r="N1987" s="1828"/>
      <c r="O1987" s="2021">
        <f>'Part IX A-Scoring Criteria'!O433</f>
        <v>10</v>
      </c>
      <c r="P1987" s="2021">
        <f>'Part IX A-Scoring Criteria'!P433</f>
        <v>10</v>
      </c>
      <c r="Q1987" s="1837" t="s">
        <v>443</v>
      </c>
      <c r="R1987" s="2040"/>
      <c r="S1987" s="2040"/>
      <c r="T1987" s="2040"/>
      <c r="U1987" s="2040"/>
      <c r="V1987" s="2040"/>
      <c r="W1987" s="2040"/>
      <c r="X1987" s="2040"/>
      <c r="Y1987" s="2040"/>
      <c r="Z1987" s="2040"/>
    </row>
    <row r="1988" spans="1:26" ht="15">
      <c r="A1988" s="2149"/>
      <c r="B1988" s="2024"/>
      <c r="C1988" s="2040"/>
      <c r="D1988" s="2041"/>
      <c r="E1988" s="2041"/>
      <c r="F1988" s="478"/>
      <c r="G1988" s="478"/>
      <c r="H1988" s="2040"/>
      <c r="I1988" s="478"/>
      <c r="J1988" s="478"/>
      <c r="K1988" s="478"/>
      <c r="L1988" s="1985"/>
      <c r="M1988" s="1837"/>
      <c r="N1988" s="1828"/>
      <c r="O1988" s="1828"/>
      <c r="P1988" s="1828"/>
      <c r="Q1988" s="1837"/>
      <c r="R1988" s="2040"/>
      <c r="S1988" s="2040"/>
      <c r="T1988" s="2040"/>
      <c r="U1988" s="2040"/>
      <c r="V1988" s="2040"/>
      <c r="W1988" s="2040"/>
      <c r="X1988" s="2040"/>
      <c r="Y1988" s="2040"/>
      <c r="Z1988" s="2040"/>
    </row>
    <row r="1989" spans="1:26" ht="15">
      <c r="A1989" s="2149"/>
      <c r="B1989" s="1933" t="s">
        <v>3684</v>
      </c>
      <c r="C1989" s="2040"/>
      <c r="D1989" s="2041"/>
      <c r="E1989" s="2041"/>
      <c r="F1989" s="478"/>
      <c r="G1989" s="478"/>
      <c r="H1989" s="2040"/>
      <c r="I1989" s="478"/>
      <c r="J1989" s="478"/>
      <c r="K1989" s="478"/>
      <c r="L1989" s="1985"/>
      <c r="M1989" s="1837"/>
      <c r="N1989" s="1828"/>
      <c r="O1989" s="2021">
        <f>'Part IX A-Scoring Criteria'!O435</f>
        <v>10</v>
      </c>
      <c r="P1989" s="2021">
        <f>'Part IX A-Scoring Criteria'!P435</f>
        <v>10</v>
      </c>
      <c r="Q1989" s="1837"/>
      <c r="R1989" s="2040"/>
      <c r="S1989" s="2040"/>
      <c r="T1989" s="2040"/>
      <c r="U1989" s="2040"/>
      <c r="V1989" s="2040"/>
      <c r="W1989" s="2040"/>
      <c r="X1989" s="2040"/>
      <c r="Y1989" s="2040"/>
      <c r="Z1989" s="2040"/>
    </row>
    <row r="1990" spans="1:26" ht="15">
      <c r="A1990" s="2149"/>
      <c r="B1990" s="1933" t="s">
        <v>3685</v>
      </c>
      <c r="C1990" s="2040"/>
      <c r="D1990" s="2041"/>
      <c r="E1990" s="2041"/>
      <c r="F1990" s="478"/>
      <c r="G1990" s="478"/>
      <c r="H1990" s="2040"/>
      <c r="I1990" s="478"/>
      <c r="J1990" s="478"/>
      <c r="K1990" s="478"/>
      <c r="L1990" s="1985"/>
      <c r="M1990" s="1837"/>
      <c r="N1990" s="1828"/>
      <c r="O1990" s="2021">
        <f>'Part IX A-Scoring Criteria'!O436</f>
        <v>0</v>
      </c>
      <c r="P1990" s="2021">
        <f>'Part IX A-Scoring Criteria'!P436</f>
        <v>0</v>
      </c>
      <c r="Q1990" s="1837"/>
      <c r="R1990" s="2040"/>
      <c r="S1990" s="2040"/>
      <c r="T1990" s="2040"/>
      <c r="U1990" s="2040"/>
      <c r="V1990" s="2040"/>
      <c r="W1990" s="2040"/>
      <c r="X1990" s="2040"/>
      <c r="Y1990" s="2040"/>
      <c r="Z1990" s="2040"/>
    </row>
    <row r="1991" spans="1:26" ht="15">
      <c r="A1991" s="2149"/>
      <c r="B1991" s="1933" t="s">
        <v>3686</v>
      </c>
      <c r="C1991" s="2040"/>
      <c r="D1991" s="2041"/>
      <c r="E1991" s="2041"/>
      <c r="F1991" s="478"/>
      <c r="G1991" s="478"/>
      <c r="H1991" s="2040"/>
      <c r="I1991" s="478"/>
      <c r="J1991" s="478"/>
      <c r="K1991" s="478"/>
      <c r="L1991" s="1985"/>
      <c r="M1991" s="1837"/>
      <c r="N1991" s="1828"/>
      <c r="O1991" s="2021">
        <f>'Part IX A-Scoring Criteria'!O437</f>
        <v>0</v>
      </c>
      <c r="P1991" s="2021">
        <f>'Part IX A-Scoring Criteria'!P437</f>
        <v>0</v>
      </c>
      <c r="Q1991" s="1837"/>
      <c r="R1991" s="2040"/>
      <c r="S1991" s="2040"/>
      <c r="T1991" s="2040"/>
      <c r="U1991" s="2040"/>
      <c r="V1991" s="2040"/>
      <c r="W1991" s="2040"/>
      <c r="X1991" s="2040"/>
      <c r="Y1991" s="2040"/>
      <c r="Z1991" s="2040"/>
    </row>
    <row r="1992" spans="1:26" ht="15">
      <c r="A1992" s="1900"/>
      <c r="B1992" s="1900" t="s">
        <v>1880</v>
      </c>
      <c r="C1992" s="1629"/>
      <c r="D1992" s="1900"/>
      <c r="E1992" s="1866"/>
      <c r="F1992" s="1866"/>
      <c r="G1992" s="1866"/>
      <c r="H1992" s="1866"/>
      <c r="I1992" s="1866"/>
      <c r="J1992" s="1866"/>
      <c r="K1992" s="1866"/>
      <c r="L1992" s="1866"/>
      <c r="M1992" s="1866"/>
      <c r="N1992" s="1963"/>
      <c r="O1992" s="1842"/>
      <c r="P1992" s="1837"/>
      <c r="Q1992" s="2040"/>
      <c r="R1992" s="2040"/>
      <c r="S1992" s="2040"/>
      <c r="T1992" s="2040"/>
      <c r="U1992" s="2040"/>
      <c r="V1992" s="2040"/>
      <c r="W1992" s="2040"/>
      <c r="X1992" s="2040"/>
      <c r="Y1992" s="2040"/>
      <c r="Z1992" s="2040"/>
    </row>
    <row r="1993" spans="1:26" ht="15.75">
      <c r="A1993" s="1936">
        <f>'Part IX A-Scoring Criteria'!A439</f>
        <v>0</v>
      </c>
      <c r="B1993" s="1936">
        <f>'Part IX A-Scoring Criteria'!B439</f>
        <v>0</v>
      </c>
      <c r="C1993" s="1936">
        <f>'Part IX A-Scoring Criteria'!C439</f>
        <v>0</v>
      </c>
      <c r="D1993" s="1936">
        <f>'Part IX A-Scoring Criteria'!D439</f>
        <v>0</v>
      </c>
      <c r="E1993" s="1936">
        <f>'Part IX A-Scoring Criteria'!E439</f>
        <v>0</v>
      </c>
      <c r="F1993" s="1936">
        <f>'Part IX A-Scoring Criteria'!F439</f>
        <v>0</v>
      </c>
      <c r="G1993" s="1936">
        <f>'Part IX A-Scoring Criteria'!G439</f>
        <v>0</v>
      </c>
      <c r="H1993" s="1936">
        <f>'Part IX A-Scoring Criteria'!H439</f>
        <v>0</v>
      </c>
      <c r="I1993" s="1936">
        <f>'Part IX A-Scoring Criteria'!I439</f>
        <v>0</v>
      </c>
      <c r="J1993" s="1936">
        <f>'Part IX A-Scoring Criteria'!J439</f>
        <v>0</v>
      </c>
      <c r="K1993" s="1936">
        <f>'Part IX A-Scoring Criteria'!K439</f>
        <v>0</v>
      </c>
      <c r="L1993" s="1936">
        <f>'Part IX A-Scoring Criteria'!L439</f>
        <v>0</v>
      </c>
      <c r="M1993" s="1936">
        <f>'Part IX A-Scoring Criteria'!M439</f>
        <v>0</v>
      </c>
      <c r="N1993" s="1936">
        <f>'Part IX A-Scoring Criteria'!N439</f>
        <v>0</v>
      </c>
      <c r="O1993" s="1936">
        <f>'Part IX A-Scoring Criteria'!O439</f>
        <v>0</v>
      </c>
      <c r="P1993" s="1936">
        <f>'Part IX A-Scoring Criteria'!P439</f>
        <v>0</v>
      </c>
      <c r="Q1993" s="2030"/>
      <c r="R1993" s="2030"/>
      <c r="S1993" s="2022"/>
      <c r="T1993" s="2022"/>
      <c r="U1993" s="2022"/>
      <c r="V1993" s="2022"/>
      <c r="W1993" s="2022"/>
      <c r="X1993" s="2022"/>
      <c r="Y1993" s="2022"/>
      <c r="Z1993" s="2022"/>
    </row>
    <row r="1994" spans="1:26" ht="15">
      <c r="A1994" s="2149"/>
      <c r="B1994" s="1629"/>
      <c r="C1994" s="1939"/>
      <c r="D1994" s="1939"/>
      <c r="E1994" s="1939"/>
      <c r="F1994" s="1939"/>
      <c r="G1994" s="1939"/>
      <c r="H1994" s="1939"/>
      <c r="I1994" s="1939"/>
      <c r="J1994" s="1939"/>
      <c r="K1994" s="1939"/>
      <c r="L1994" s="1939"/>
      <c r="M1994" s="1939"/>
      <c r="N1994" s="2057"/>
      <c r="O1994" s="2028"/>
      <c r="P1994" s="1837"/>
      <c r="Q1994" s="2022"/>
      <c r="R1994" s="2022"/>
      <c r="S1994" s="2022"/>
      <c r="T1994" s="2022"/>
      <c r="U1994" s="2022"/>
      <c r="V1994" s="2022"/>
      <c r="W1994" s="2022"/>
      <c r="X1994" s="2022"/>
      <c r="Y1994" s="2022"/>
      <c r="Z1994" s="2022"/>
    </row>
    <row r="1995" spans="1:26" ht="15">
      <c r="A1995" s="2149"/>
      <c r="B1995" s="2164"/>
      <c r="C1995" s="1629"/>
      <c r="F1995" s="2022"/>
      <c r="G1995" s="2165" t="s">
        <v>429</v>
      </c>
      <c r="H1995" s="1629"/>
      <c r="I1995" s="2018"/>
      <c r="J1995" s="2018"/>
      <c r="K1995" s="2018"/>
      <c r="L1995" s="2040"/>
      <c r="M1995" s="2166">
        <f>M1562+M1597+M1611+M1621+M1648+M1665+M1707+M1743+M1782+M1824+M1840+M1848+M1870+M1878+M1891+M1900+M1916+M1950+M1968+M1987</f>
        <v>95</v>
      </c>
      <c r="N1995" s="2167"/>
      <c r="O1995" s="2166">
        <f>O1562+O1597+O1611+O1621+O1648+O1665+O1707+O1743+O1824+O1840+O1848+O1870+O1891+O1900+O1916+O1950+O1968+O1987</f>
        <v>62</v>
      </c>
      <c r="P1995" s="2166">
        <f>P1562+P1597+P1611+P1621+P1648+P1665+P1707+P1743+P1782+P1824+P1840+P1848+P1870+P1878+P1891+P1900+P1916+P1950+P1968+P1987</f>
        <v>20</v>
      </c>
      <c r="Q1995" s="1629"/>
      <c r="R1995" s="1877">
        <f>'Part IX A-Scoring Criteria'!O441</f>
        <v>62</v>
      </c>
      <c r="S1995" s="1629"/>
      <c r="T1995" s="1629"/>
      <c r="U1995" s="1629"/>
      <c r="V1995" s="1629"/>
      <c r="W1995" s="1629"/>
      <c r="X1995" s="1629"/>
      <c r="Y1995" s="1629"/>
      <c r="Z1995" s="1629"/>
    </row>
    <row r="1996" spans="1:26" ht="15.75">
      <c r="A1996" s="2022"/>
      <c r="B1996" s="2164"/>
      <c r="C1996" s="2022"/>
      <c r="F1996" s="2020"/>
      <c r="G1996" s="2020"/>
      <c r="H1996" s="1844" t="s">
        <v>4241</v>
      </c>
      <c r="I1996" s="1629"/>
      <c r="J1996" s="1716"/>
      <c r="K1996" s="1716"/>
      <c r="L1996" s="2022"/>
      <c r="N1996" s="1837"/>
      <c r="O1996" s="1837"/>
      <c r="P1996" s="2119">
        <f>P1782</f>
        <v>0</v>
      </c>
      <c r="Q1996" s="1629"/>
      <c r="R1996" s="1629"/>
      <c r="S1996" s="1629"/>
      <c r="T1996" s="1629"/>
      <c r="U1996" s="1629"/>
      <c r="V1996" s="1629"/>
      <c r="W1996" s="1629"/>
      <c r="X1996" s="1629"/>
      <c r="Y1996" s="1629"/>
      <c r="Z1996" s="1629"/>
    </row>
    <row r="1997" spans="1:26" ht="15.75">
      <c r="A1997" s="2022"/>
      <c r="B1997" s="2164"/>
      <c r="C1997" s="2022"/>
      <c r="F1997" s="2020"/>
      <c r="G1997" s="2020"/>
      <c r="H1997" s="1844" t="s">
        <v>4242</v>
      </c>
      <c r="I1997" s="1629"/>
      <c r="J1997" s="1716"/>
      <c r="K1997" s="1716"/>
      <c r="L1997" s="2022"/>
      <c r="N1997" s="1837"/>
      <c r="O1997" s="2119"/>
      <c r="P1997" s="2119">
        <f>P1878</f>
        <v>0</v>
      </c>
      <c r="Q1997" s="1629"/>
      <c r="R1997" s="1629"/>
      <c r="S1997" s="1629"/>
      <c r="T1997" s="1629"/>
      <c r="U1997" s="1629"/>
      <c r="V1997" s="1629"/>
      <c r="W1997" s="1629"/>
      <c r="X1997" s="1629"/>
      <c r="Y1997" s="1629"/>
      <c r="Z1997" s="1629"/>
    </row>
    <row r="1998" spans="1:26" ht="15">
      <c r="A1998" s="1629"/>
      <c r="B1998" s="2022"/>
      <c r="C1998" s="2022"/>
      <c r="D1998" s="478"/>
      <c r="E1998" s="478"/>
      <c r="F1998" s="1837"/>
      <c r="G1998" s="2022"/>
      <c r="H1998" s="1844" t="s">
        <v>4250</v>
      </c>
      <c r="I1998" s="1837"/>
      <c r="J1998" s="1872"/>
      <c r="K1998" s="1872"/>
      <c r="L1998" s="1872"/>
      <c r="M1998" s="1934"/>
      <c r="N1998" s="1837"/>
      <c r="O1998" s="1826"/>
      <c r="P1998" s="2021">
        <f>P1995-P1996-P1997</f>
        <v>20</v>
      </c>
      <c r="Q1998" s="2022"/>
      <c r="R1998" s="2022"/>
      <c r="S1998" s="2022"/>
      <c r="T1998" s="2022"/>
      <c r="U1998" s="2022"/>
      <c r="V1998" s="2022"/>
      <c r="W1998" s="2022"/>
      <c r="X1998" s="2022"/>
      <c r="Y1998" s="2022"/>
      <c r="Z1998" s="2022"/>
    </row>
    <row r="1999" spans="1:26" ht="15.75">
      <c r="A1999" s="2022"/>
      <c r="B1999" s="2164"/>
      <c r="C1999" s="2022"/>
      <c r="F1999" s="1872"/>
      <c r="G1999" s="1872"/>
      <c r="H1999" s="2020"/>
      <c r="I1999" s="2020"/>
      <c r="J1999" s="1716"/>
      <c r="K1999" s="1716"/>
      <c r="L1999" s="2022"/>
      <c r="N1999" s="1837"/>
      <c r="O1999" s="1837"/>
      <c r="P1999" s="2021"/>
    </row>
    <row r="2000" spans="1:26" ht="15" customHeight="1">
      <c r="A2000" s="2168" t="s">
        <v>3715</v>
      </c>
      <c r="B2000" s="2168"/>
      <c r="C2000" s="2168"/>
      <c r="D2000" s="2168"/>
      <c r="E2000" s="2168"/>
      <c r="F2000" s="2168"/>
      <c r="G2000" s="2168"/>
      <c r="H2000" s="2168"/>
      <c r="I2000" s="2168"/>
      <c r="J2000" s="2168"/>
      <c r="K2000" s="2168"/>
      <c r="L2000" s="2168"/>
      <c r="M2000" s="2168"/>
      <c r="N2000" s="2168"/>
      <c r="O2000" s="2168"/>
      <c r="P2000" s="2168"/>
      <c r="Q2000" s="2022"/>
      <c r="R2000" s="2022"/>
      <c r="S2000" s="2022"/>
      <c r="T2000" s="2022"/>
      <c r="U2000" s="2022"/>
      <c r="V2000" s="2022"/>
      <c r="W2000" s="2022"/>
      <c r="X2000" s="2022"/>
      <c r="Y2000" s="2022"/>
      <c r="Z2000" s="2022"/>
    </row>
    <row r="2001" spans="1:26" ht="409.5">
      <c r="A2001" s="1936" t="str">
        <f>'Part IX A-Scoring Criteria'!A447</f>
        <v xml:space="preserve">• I. Application Completeness:  The Tindall Fields III application is complete and properly organized in full compliance with QAP Scoring Section I, Application Completeness. 
• II. Deeper Targeting/Rent/Income Restrictions:   Item II.A is N/A.   Tindall Fields III qualifies for these points because for Item II.B, 25 of the 65 units (38%) will have Project Based Vouchers from the Macon Bibb Housing Authority for a term of 20 years.  This 38% of PBV units exceeds the DCA minimum requirement of 30% for points in this category.  The 20 year term exceeds the DCA 10 year minimum term as well. Please see Tab 1-03-01, Tab 26-01 and Tab 41-01.
•IV.Community Transportation: Tindall Fields III qualifies for the maximum points for this scoring section because we have complied with all of the Flexible Pool transportation questions listed above.  Although not required by DCA this year, access by public sidewalks along Nussbaum Avenue and Plant Street is already in place to the two existing Macon-Bibb Transit Authority transit stops located at the intersection of Plant Street and Felton Avenue.  Please see the Google maps documenting this at Tab 28-02-02.  The transportation website, www.mta-mac.com is a very informative website, with contact information, pricing and current routes available. It also provides an opportunity for the viewer to download a map with pricing, route and schedule relevant to their desired bus stop. 
• VI. Enriched Property Services: Tindall Fields III qualifies for the maximum points for this scoring category. For our Enriched Property Services, we have selected “Education Outcomes.”  Our Investing in Families’ Futures (IFF) program meets if not exceeds all of the DCA requirements, including the requirements for innovativeness and replicability. This IFF program qualified with DCA in 2017 as an “Innovative Housing Concept”, but we realize that each year’s scoring stands alone.  We have therefore “refreshed” the two core components of the IFF program to make sure that IFF fully complies with the 2018 DCA QAP requirements.  All of the parties from 2017 are still committed to IFF and we have updated these MOUs to reflect their continued interest in providing the required mentoring and financial counseling services. As a quick reminder, these parties include Mercer University, the Bibb County School District, Mid-South Federal Credit Union, Operation HOPE, and the Griffith Family Foundation. Please see Tab 30-01 for the answers to the specific questions posed there; 30-01 and the other sub-tabs at Tab 30 respond fully to the other DCA requirements. 
• X. Stable Communities: This section is N/A
•XIII.Extended Affordability Commitment: A. Tindall Fields III qualifies for the maximum points in this section because we agree to forego the cancellation option for at least 5 years after the close of the compliance period.  Section B is N/A.
•XIV. Exceptional PHA: Tindall Fields III qualifies for the maximum points under this scoring section.  This is the only application from the project team requesting these points in this funding round, and the required PHA Assessment form is filed at Tab 38-04 and Tab 38-05. Macon Housing Authority is the parent entity of In-Fill Housing II, Inc., its non-profit development affiliate. MHA/In-Fill has a strong, compelling case for these points, with its proven and battle-tested 18-year history in developing 19 DCA-sponsored affordable housing developments.  Equally impressive however is MHA’s support of, and partnerships with, local organizations whose mission it is to help improve the lives of others. MHA has taken its “community-building mission” very seriously over its 75-year history, and  has learned how, when and why to collaborate with other like-minded organizations long before it was popular.  Our story is found at Tab 38-04.
•XX. Compliance: Tindall Fields III qualifies for the full 10 points for this scoring section, based on In-Fill Housing II, Inc.’s and its related entities’ longstanding exemplary compliance record. 
Effective May 21, 2018, one 8823 is currently open at Kingston Gardens Apartments (2005-048) due to a unit fire.  The unit is currently under Casualty Loss and all LIHTC due diligence has been completed.  The circumstances are as follows:   Unit E2 was inspected during a DCA review on 11/8/17, and all EH&amp;S items were cured within the allotted 24 hour period.  However, prior to receiving the final DCA report on 1/22/18, the unit incurred serious fire damage on 1/3/2018.  We immediately began the process of bringing the unit back  on line, the unit was demoed and prepped by 2/20/18; however, despite our best efforts we were unable to completely restore the unit by the review deadline of 3/9/18.  At this time, we fully expect our contractors to complete all of the work and restore the unit to habitability by 6/15/18, at which time DCA has informed us that they will submit a corrected 8823 to the IRS.  
Despite this outstanding item, we have successfully developed and own sixteen properties in Georgia. Please see Tab 43-02-00 for Compliance History Summary. 
</v>
      </c>
      <c r="B2001" s="1936">
        <f>'Part IX A-Scoring Criteria'!B447</f>
        <v>0</v>
      </c>
      <c r="C2001" s="1936">
        <f>'Part IX A-Scoring Criteria'!C447</f>
        <v>0</v>
      </c>
      <c r="D2001" s="1936">
        <f>'Part IX A-Scoring Criteria'!D447</f>
        <v>0</v>
      </c>
      <c r="E2001" s="1936">
        <f>'Part IX A-Scoring Criteria'!E447</f>
        <v>0</v>
      </c>
      <c r="F2001" s="1936">
        <f>'Part IX A-Scoring Criteria'!F447</f>
        <v>0</v>
      </c>
      <c r="G2001" s="1936">
        <f>'Part IX A-Scoring Criteria'!G447</f>
        <v>0</v>
      </c>
      <c r="H2001" s="1936">
        <f>'Part IX A-Scoring Criteria'!H447</f>
        <v>0</v>
      </c>
      <c r="I2001" s="1936">
        <f>'Part IX A-Scoring Criteria'!I447</f>
        <v>0</v>
      </c>
      <c r="J2001" s="1936">
        <f>'Part IX A-Scoring Criteria'!J447</f>
        <v>0</v>
      </c>
      <c r="K2001" s="1936">
        <f>'Part IX A-Scoring Criteria'!K447</f>
        <v>0</v>
      </c>
      <c r="L2001" s="1936">
        <f>'Part IX A-Scoring Criteria'!L447</f>
        <v>0</v>
      </c>
      <c r="M2001" s="1936">
        <f>'Part IX A-Scoring Criteria'!M447</f>
        <v>0</v>
      </c>
      <c r="N2001" s="1936">
        <f>'Part IX A-Scoring Criteria'!N447</f>
        <v>0</v>
      </c>
      <c r="O2001" s="1936">
        <f>'Part IX A-Scoring Criteria'!O447</f>
        <v>0</v>
      </c>
      <c r="P2001" s="1936">
        <f>'Part IX A-Scoring Criteria'!P447</f>
        <v>0</v>
      </c>
      <c r="Q2001" s="2030"/>
      <c r="R2001" s="2030"/>
      <c r="S2001" s="2022"/>
      <c r="T2001" s="2022"/>
      <c r="U2001" s="2022"/>
      <c r="V2001" s="2022"/>
      <c r="W2001" s="2022"/>
      <c r="X2001" s="2022"/>
      <c r="Y2001" s="2022"/>
      <c r="Z2001" s="2022"/>
    </row>
    <row r="2009" spans="1:26" ht="15.75">
      <c r="A2009" s="1740" t="s">
        <v>4255</v>
      </c>
    </row>
    <row r="2010" spans="1:26" ht="16.5">
      <c r="A2010" s="2169" t="str">
        <f>'Part I-Project Information'!$F$34</f>
        <v>Tindall Fields III</v>
      </c>
    </row>
    <row r="2011" spans="1:26" ht="16.5">
      <c r="A2011" s="2169" t="str">
        <f>CONCATENATE('Part I-Project Information'!$F$38,", ", 'Part I-Project Information'!$J$39," County")</f>
        <v>Macon, Bibb County</v>
      </c>
    </row>
    <row r="2013" spans="1:26" ht="12.75" customHeight="1">
      <c r="A2013" s="1621"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621"/>
    </row>
    <row r="2015" spans="1:26">
      <c r="A2015" s="1621"/>
    </row>
    <row r="2016" spans="1:26">
      <c r="A2016" s="1621"/>
    </row>
    <row r="2017" spans="1:1">
      <c r="A2017" s="1621"/>
    </row>
    <row r="2018" spans="1:1">
      <c r="A2018" s="1621"/>
    </row>
    <row r="2019" spans="1:1">
      <c r="A2019" s="1621"/>
    </row>
    <row r="2020" spans="1:1">
      <c r="A2020" s="1621"/>
    </row>
    <row r="2021" spans="1:1">
      <c r="A2021" s="1621"/>
    </row>
    <row r="2022" spans="1:1">
      <c r="A2022" s="1621"/>
    </row>
    <row r="2023" spans="1:1">
      <c r="A2023" s="1621"/>
    </row>
    <row r="2024" spans="1:1">
      <c r="A2024" s="1621"/>
    </row>
    <row r="2025" spans="1:1">
      <c r="A2025" s="1621"/>
    </row>
    <row r="2026" spans="1:1">
      <c r="A2026" s="1621"/>
    </row>
    <row r="2027" spans="1:1">
      <c r="A2027" s="1621"/>
    </row>
    <row r="2028" spans="1:1">
      <c r="A2028" s="1621"/>
    </row>
    <row r="2029" spans="1:1">
      <c r="A2029" s="1621"/>
    </row>
    <row r="2030" spans="1:1">
      <c r="A2030" s="1621"/>
    </row>
    <row r="2031" spans="1:1">
      <c r="A2031" s="1621"/>
    </row>
  </sheetData>
  <sheetProtection algorithmName="SHA-512" hashValue="uhCg/NTDC0MdnqC9n04oj+IVV/jUOjz0YtYd7uhhsqgFXRYpR7DxDnuzC6/tfRi4+1LwTTjTWiSimJodgn+swQ==" saltValue="QFggRk4b+ssKuDP4bKuPaA=="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Normal="100" workbookViewId="0">
      <selection activeCell="L7" sqref="L7:N7"/>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5703125" style="324" customWidth="1"/>
    <col min="25" max="16384" width="9.140625" style="324"/>
  </cols>
  <sheetData>
    <row r="1" spans="1:27" s="305" customFormat="1" ht="13.9" customHeight="1">
      <c r="A1" s="2629" t="str">
        <f>CONCATENATE("PART TWO - DEVELOPMENT TEAM INFORMATION","  -  ",'Part I-Project Information'!$O$6," ",'Part I-Project Information'!$F$34,", ",'Part I-Project Information'!F38,", ",'Part I-Project Information'!J39," County")</f>
        <v>PART TWO - DEVELOPMENT TEAM INFORMATION  -  2018-013 Tindall Fields III, Macon, Bibb County</v>
      </c>
      <c r="B1" s="2630"/>
      <c r="C1" s="2630"/>
      <c r="D1" s="2630"/>
      <c r="E1" s="2630"/>
      <c r="F1" s="2630"/>
      <c r="G1" s="2630"/>
      <c r="H1" s="2630"/>
      <c r="I1" s="2630"/>
      <c r="J1" s="2630"/>
      <c r="K1" s="2630"/>
      <c r="L1" s="2630"/>
      <c r="M1" s="2630"/>
      <c r="N1" s="2630"/>
      <c r="O1" s="2630"/>
      <c r="P1" s="2630"/>
      <c r="Q1" s="2630"/>
      <c r="R1" s="2630"/>
      <c r="S1" s="2631"/>
    </row>
    <row r="2" spans="1:27" ht="12" customHeight="1">
      <c r="A2" s="1020" t="s">
        <v>4517</v>
      </c>
      <c r="B2" s="1021"/>
      <c r="C2" s="1021"/>
      <c r="D2" s="1021"/>
      <c r="E2" s="1021"/>
      <c r="F2" s="1021"/>
      <c r="G2" s="1021"/>
      <c r="H2" s="1021"/>
      <c r="I2" s="1021"/>
      <c r="J2" s="1021"/>
      <c r="K2" s="1021"/>
      <c r="L2" s="1021"/>
      <c r="M2" s="1021"/>
      <c r="N2" s="1021"/>
      <c r="O2" s="1021"/>
      <c r="P2" s="1021"/>
      <c r="Q2" s="1021"/>
      <c r="R2" s="1021"/>
      <c r="S2" s="1021"/>
    </row>
    <row r="3" spans="1:27" s="305" customFormat="1" ht="13.15" customHeight="1">
      <c r="A3" s="307" t="s">
        <v>622</v>
      </c>
      <c r="B3" s="311" t="s">
        <v>1872</v>
      </c>
      <c r="C3" s="311"/>
      <c r="E3" s="311"/>
      <c r="F3" s="311"/>
      <c r="G3" s="311"/>
      <c r="H3" s="1417" t="s">
        <v>4314</v>
      </c>
    </row>
    <row r="4" spans="1:27" s="305" customFormat="1" ht="8.4499999999999993" customHeight="1">
      <c r="A4" s="307"/>
      <c r="B4" s="307"/>
      <c r="C4" s="307"/>
      <c r="D4" s="311"/>
      <c r="E4" s="311"/>
      <c r="F4" s="311"/>
      <c r="G4" s="311"/>
      <c r="H4" s="311"/>
      <c r="I4" s="311"/>
      <c r="J4" s="311"/>
    </row>
    <row r="5" spans="1:27" s="305" customFormat="1" ht="11.25" customHeight="1">
      <c r="B5" s="307" t="s">
        <v>1999</v>
      </c>
      <c r="C5" s="311" t="s">
        <v>1868</v>
      </c>
      <c r="H5" s="2473" t="s">
        <v>4602</v>
      </c>
      <c r="I5" s="2626"/>
      <c r="J5" s="2626"/>
      <c r="K5" s="2626"/>
      <c r="L5" s="2626"/>
      <c r="M5" s="2626"/>
      <c r="N5" s="2616"/>
      <c r="O5" s="1559" t="s">
        <v>2005</v>
      </c>
      <c r="P5" s="1559"/>
      <c r="Q5" s="2473" t="s">
        <v>4603</v>
      </c>
      <c r="R5" s="2626"/>
      <c r="S5" s="2616"/>
      <c r="Y5" s="1163"/>
      <c r="Z5" s="1164"/>
      <c r="AA5" s="1570"/>
    </row>
    <row r="6" spans="1:27" s="305" customFormat="1" ht="11.25" customHeight="1">
      <c r="D6" s="348"/>
      <c r="E6" s="310" t="s">
        <v>1031</v>
      </c>
      <c r="F6" s="318"/>
      <c r="H6" s="2473" t="s">
        <v>4557</v>
      </c>
      <c r="I6" s="2626"/>
      <c r="J6" s="2626"/>
      <c r="K6" s="2626"/>
      <c r="L6" s="2626"/>
      <c r="M6" s="2626"/>
      <c r="N6" s="2616"/>
      <c r="O6" s="1559" t="s">
        <v>1760</v>
      </c>
      <c r="Q6" s="2473" t="s">
        <v>2490</v>
      </c>
      <c r="R6" s="2626"/>
      <c r="S6" s="2616"/>
      <c r="V6" s="1163"/>
      <c r="W6" s="1163"/>
      <c r="X6" s="1163"/>
      <c r="Y6" s="1163"/>
      <c r="Z6" s="1164"/>
      <c r="AA6" s="1570"/>
    </row>
    <row r="7" spans="1:27" s="305" customFormat="1" ht="11.25" customHeight="1">
      <c r="D7" s="348"/>
      <c r="E7" s="310" t="s">
        <v>624</v>
      </c>
      <c r="H7" s="2473" t="s">
        <v>1332</v>
      </c>
      <c r="I7" s="2626"/>
      <c r="J7" s="2616"/>
      <c r="K7" s="2373" t="s">
        <v>770</v>
      </c>
      <c r="L7" s="2473"/>
      <c r="M7" s="2626"/>
      <c r="N7" s="2616"/>
      <c r="O7" s="1559" t="s">
        <v>1734</v>
      </c>
      <c r="Q7" s="2619">
        <v>4787525070</v>
      </c>
      <c r="R7" s="2620"/>
      <c r="S7" s="2621"/>
    </row>
    <row r="8" spans="1:27" s="305" customFormat="1" ht="11.25" customHeight="1">
      <c r="D8" s="348"/>
      <c r="E8" s="310" t="s">
        <v>1812</v>
      </c>
      <c r="H8" s="2374" t="s">
        <v>856</v>
      </c>
      <c r="I8" s="1562" t="s">
        <v>2245</v>
      </c>
      <c r="J8" s="2615">
        <v>312012404</v>
      </c>
      <c r="K8" s="2616"/>
      <c r="L8" s="305" t="s">
        <v>3714</v>
      </c>
      <c r="M8" s="2617" t="s">
        <v>4604</v>
      </c>
      <c r="N8" s="2618"/>
      <c r="O8" s="1559" t="s">
        <v>1995</v>
      </c>
      <c r="Q8" s="2619">
        <v>4783207044</v>
      </c>
      <c r="R8" s="2620"/>
      <c r="S8" s="2621"/>
    </row>
    <row r="9" spans="1:27" s="305" customFormat="1" ht="11.25" customHeight="1">
      <c r="D9" s="348"/>
      <c r="E9" s="310" t="s">
        <v>4315</v>
      </c>
      <c r="H9" s="2619">
        <v>4787525070</v>
      </c>
      <c r="I9" s="2621"/>
      <c r="J9" s="2375"/>
      <c r="K9" s="1571" t="s">
        <v>2000</v>
      </c>
      <c r="L9" s="2470" t="s">
        <v>4605</v>
      </c>
      <c r="M9" s="2471"/>
      <c r="N9" s="2471"/>
      <c r="O9" s="2471"/>
      <c r="P9" s="2471"/>
      <c r="Q9" s="2471"/>
      <c r="R9" s="2471"/>
      <c r="S9" s="2472"/>
    </row>
    <row r="10" spans="1:27" s="305" customFormat="1" ht="11.25" customHeight="1">
      <c r="D10" s="348"/>
      <c r="E10" s="1417" t="s">
        <v>4314</v>
      </c>
      <c r="H10" s="342"/>
      <c r="K10" s="278"/>
      <c r="N10" s="380" t="s">
        <v>3588</v>
      </c>
      <c r="Q10" s="1571"/>
    </row>
    <row r="11" spans="1:27" s="305" customFormat="1" ht="4.1500000000000004" customHeight="1">
      <c r="D11" s="349"/>
      <c r="E11" s="310"/>
      <c r="F11" s="311"/>
      <c r="G11" s="311"/>
      <c r="H11" s="311"/>
      <c r="I11" s="311"/>
      <c r="J11" s="311"/>
      <c r="N11" s="311"/>
      <c r="O11" s="311"/>
      <c r="P11" s="311"/>
      <c r="Q11" s="311"/>
      <c r="R11" s="311"/>
      <c r="S11" s="311"/>
      <c r="T11" s="311"/>
    </row>
    <row r="12" spans="1:27" s="305" customFormat="1" ht="11.25" customHeight="1">
      <c r="B12" s="347" t="s">
        <v>2001</v>
      </c>
      <c r="C12" s="311" t="s">
        <v>1869</v>
      </c>
      <c r="F12" s="311"/>
      <c r="G12" s="311"/>
      <c r="H12" s="311"/>
      <c r="I12" s="311"/>
      <c r="N12" s="2376" t="s">
        <v>1296</v>
      </c>
      <c r="W12" s="2376"/>
      <c r="X12" s="2376"/>
      <c r="Y12" s="2376"/>
      <c r="Z12" s="2376"/>
    </row>
    <row r="13" spans="1:27" s="305" customFormat="1" ht="11.25" customHeight="1">
      <c r="C13" s="350" t="s">
        <v>2002</v>
      </c>
      <c r="D13" s="347" t="s">
        <v>2003</v>
      </c>
      <c r="H13" s="1570"/>
      <c r="I13" s="1570"/>
      <c r="J13" s="1570"/>
      <c r="N13" s="1165"/>
      <c r="W13" s="2377"/>
      <c r="X13" s="2377"/>
      <c r="Y13" s="2377"/>
      <c r="Z13" s="2377"/>
    </row>
    <row r="14" spans="1:27" s="305" customFormat="1" ht="11.25" customHeight="1">
      <c r="D14" s="307" t="s">
        <v>2132</v>
      </c>
      <c r="E14" s="305" t="s">
        <v>1870</v>
      </c>
      <c r="H14" s="2622" t="s">
        <v>4606</v>
      </c>
      <c r="I14" s="2623"/>
      <c r="J14" s="2623"/>
      <c r="K14" s="2623"/>
      <c r="L14" s="2623"/>
      <c r="M14" s="2623"/>
      <c r="N14" s="2565"/>
      <c r="O14" s="1559" t="s">
        <v>2005</v>
      </c>
      <c r="P14" s="1559"/>
      <c r="Q14" s="2622" t="s">
        <v>4603</v>
      </c>
      <c r="R14" s="2623"/>
      <c r="S14" s="2565"/>
    </row>
    <row r="15" spans="1:27" s="305" customFormat="1" ht="11.25" customHeight="1">
      <c r="D15" s="348"/>
      <c r="E15" s="310" t="s">
        <v>1031</v>
      </c>
      <c r="F15" s="318"/>
      <c r="H15" s="2473" t="s">
        <v>4557</v>
      </c>
      <c r="I15" s="2626"/>
      <c r="J15" s="2626"/>
      <c r="K15" s="2626"/>
      <c r="L15" s="2626"/>
      <c r="M15" s="2626"/>
      <c r="N15" s="2616"/>
      <c r="O15" s="1559" t="s">
        <v>1760</v>
      </c>
      <c r="Q15" s="2473" t="s">
        <v>2490</v>
      </c>
      <c r="R15" s="2626"/>
      <c r="S15" s="2616"/>
    </row>
    <row r="16" spans="1:27" s="305" customFormat="1" ht="11.25" customHeight="1">
      <c r="D16" s="348"/>
      <c r="E16" s="310" t="s">
        <v>624</v>
      </c>
      <c r="H16" s="2622" t="s">
        <v>1332</v>
      </c>
      <c r="I16" s="2623"/>
      <c r="J16" s="2565"/>
      <c r="K16" s="1561" t="s">
        <v>2722</v>
      </c>
      <c r="L16" s="2622"/>
      <c r="M16" s="2623"/>
      <c r="N16" s="2565"/>
      <c r="O16" s="1559" t="s">
        <v>1734</v>
      </c>
      <c r="Q16" s="2619">
        <v>4787525070</v>
      </c>
      <c r="R16" s="2620"/>
      <c r="S16" s="2621"/>
    </row>
    <row r="17" spans="3:19" s="305" customFormat="1" ht="11.25" customHeight="1">
      <c r="D17" s="307"/>
      <c r="E17" s="310" t="s">
        <v>1812</v>
      </c>
      <c r="H17" s="2378" t="s">
        <v>856</v>
      </c>
      <c r="K17" s="1562" t="s">
        <v>2245</v>
      </c>
      <c r="L17" s="2627">
        <v>312012404</v>
      </c>
      <c r="M17" s="2628"/>
      <c r="O17" s="1559" t="s">
        <v>1995</v>
      </c>
      <c r="Q17" s="2619">
        <v>4783207044</v>
      </c>
      <c r="R17" s="2620"/>
      <c r="S17" s="2621"/>
    </row>
    <row r="18" spans="3:19" s="305" customFormat="1" ht="11.25" customHeight="1">
      <c r="D18" s="348"/>
      <c r="E18" s="310" t="s">
        <v>4315</v>
      </c>
      <c r="H18" s="2624">
        <v>4787525070</v>
      </c>
      <c r="I18" s="2625"/>
      <c r="J18" s="2379"/>
      <c r="K18" s="1571" t="s">
        <v>2000</v>
      </c>
      <c r="L18" s="2470" t="s">
        <v>4561</v>
      </c>
      <c r="M18" s="2471"/>
      <c r="N18" s="2471"/>
      <c r="O18" s="2471"/>
      <c r="P18" s="2471"/>
      <c r="Q18" s="2471"/>
      <c r="R18" s="2471"/>
      <c r="S18" s="2472"/>
    </row>
    <row r="19" spans="3:19" ht="4.1500000000000004" customHeight="1">
      <c r="D19" s="333"/>
      <c r="H19" s="2380"/>
      <c r="I19" s="2380"/>
      <c r="J19" s="2380"/>
      <c r="K19" s="1571"/>
      <c r="L19" s="2380"/>
      <c r="M19" s="2380"/>
      <c r="N19" s="1558"/>
      <c r="O19" s="1613"/>
      <c r="P19" s="1613"/>
      <c r="Q19" s="1571"/>
      <c r="R19" s="1613"/>
      <c r="S19" s="1613"/>
    </row>
    <row r="20" spans="3:19" s="305" customFormat="1" ht="11.25" customHeight="1">
      <c r="D20" s="307" t="s">
        <v>2133</v>
      </c>
      <c r="E20" s="305" t="s">
        <v>1871</v>
      </c>
      <c r="F20" s="1570"/>
      <c r="H20" s="2622"/>
      <c r="I20" s="2623"/>
      <c r="J20" s="2623"/>
      <c r="K20" s="2623"/>
      <c r="L20" s="2623"/>
      <c r="M20" s="2623"/>
      <c r="N20" s="2565"/>
      <c r="O20" s="1559" t="s">
        <v>2005</v>
      </c>
      <c r="P20" s="1559"/>
      <c r="Q20" s="2622"/>
      <c r="R20" s="2623"/>
      <c r="S20" s="2565"/>
    </row>
    <row r="21" spans="3:19" s="305" customFormat="1" ht="11.25" customHeight="1">
      <c r="D21" s="348"/>
      <c r="E21" s="310" t="s">
        <v>1031</v>
      </c>
      <c r="F21" s="318"/>
      <c r="H21" s="2622"/>
      <c r="I21" s="2623"/>
      <c r="J21" s="2623"/>
      <c r="K21" s="2623"/>
      <c r="L21" s="2623"/>
      <c r="M21" s="2623"/>
      <c r="N21" s="2565"/>
      <c r="O21" s="1559" t="s">
        <v>1760</v>
      </c>
      <c r="Q21" s="2622"/>
      <c r="R21" s="2623"/>
      <c r="S21" s="2565"/>
    </row>
    <row r="22" spans="3:19" s="305" customFormat="1" ht="11.25" customHeight="1">
      <c r="D22" s="348"/>
      <c r="E22" s="310" t="s">
        <v>624</v>
      </c>
      <c r="H22" s="2622"/>
      <c r="I22" s="2623"/>
      <c r="J22" s="2565"/>
      <c r="K22" s="1561" t="s">
        <v>2722</v>
      </c>
      <c r="L22" s="2622"/>
      <c r="M22" s="2623"/>
      <c r="N22" s="2565"/>
      <c r="O22" s="1559" t="s">
        <v>1734</v>
      </c>
      <c r="Q22" s="2624"/>
      <c r="R22" s="2632"/>
      <c r="S22" s="2625"/>
    </row>
    <row r="23" spans="3:19" s="305" customFormat="1" ht="11.25" customHeight="1">
      <c r="E23" s="310" t="s">
        <v>1812</v>
      </c>
      <c r="H23" s="2378"/>
      <c r="K23" s="1562" t="s">
        <v>2245</v>
      </c>
      <c r="L23" s="2627"/>
      <c r="M23" s="2628"/>
      <c r="O23" s="1559" t="s">
        <v>1995</v>
      </c>
      <c r="Q23" s="2624"/>
      <c r="R23" s="2632"/>
      <c r="S23" s="2625"/>
    </row>
    <row r="24" spans="3:19" s="305" customFormat="1" ht="11.25" customHeight="1">
      <c r="D24" s="348"/>
      <c r="E24" s="310" t="s">
        <v>4315</v>
      </c>
      <c r="H24" s="2624"/>
      <c r="I24" s="2625"/>
      <c r="J24" s="2379"/>
      <c r="K24" s="1571" t="s">
        <v>2000</v>
      </c>
      <c r="L24" s="2470"/>
      <c r="M24" s="2471"/>
      <c r="N24" s="2471"/>
      <c r="O24" s="2471"/>
      <c r="P24" s="2471"/>
      <c r="Q24" s="2471"/>
      <c r="R24" s="2471"/>
      <c r="S24" s="2472"/>
    </row>
    <row r="25" spans="3:19" s="305" customFormat="1" ht="4.1500000000000004" customHeight="1">
      <c r="D25" s="348"/>
      <c r="E25" s="1570"/>
      <c r="F25" s="1570"/>
      <c r="G25" s="1559"/>
      <c r="H25" s="2380"/>
      <c r="I25" s="2380"/>
      <c r="J25" s="2380"/>
      <c r="K25" s="1571"/>
      <c r="L25" s="2380"/>
      <c r="M25" s="2380"/>
      <c r="N25" s="1558"/>
      <c r="O25" s="1613"/>
      <c r="P25" s="1613"/>
      <c r="Q25" s="1571"/>
      <c r="R25" s="1613"/>
      <c r="S25" s="1613"/>
    </row>
    <row r="26" spans="3:19" s="305" customFormat="1" ht="11.25" customHeight="1">
      <c r="D26" s="307" t="s">
        <v>1747</v>
      </c>
      <c r="E26" s="305" t="s">
        <v>1871</v>
      </c>
      <c r="F26" s="1570"/>
      <c r="H26" s="2622"/>
      <c r="I26" s="2623"/>
      <c r="J26" s="2623"/>
      <c r="K26" s="2623"/>
      <c r="L26" s="2623"/>
      <c r="M26" s="2623"/>
      <c r="N26" s="2565"/>
      <c r="O26" s="1559" t="s">
        <v>2005</v>
      </c>
      <c r="P26" s="1559"/>
      <c r="Q26" s="2622"/>
      <c r="R26" s="2623"/>
      <c r="S26" s="2565"/>
    </row>
    <row r="27" spans="3:19" s="305" customFormat="1" ht="11.25" customHeight="1">
      <c r="D27" s="348"/>
      <c r="E27" s="310" t="s">
        <v>1031</v>
      </c>
      <c r="F27" s="318"/>
      <c r="H27" s="2622"/>
      <c r="I27" s="2623"/>
      <c r="J27" s="2623"/>
      <c r="K27" s="2623"/>
      <c r="L27" s="2623"/>
      <c r="M27" s="2623"/>
      <c r="N27" s="2565"/>
      <c r="O27" s="1559" t="s">
        <v>1760</v>
      </c>
      <c r="Q27" s="2622"/>
      <c r="R27" s="2623"/>
      <c r="S27" s="2565"/>
    </row>
    <row r="28" spans="3:19" s="305" customFormat="1" ht="11.25" customHeight="1">
      <c r="D28" s="348"/>
      <c r="E28" s="310" t="s">
        <v>624</v>
      </c>
      <c r="H28" s="2622"/>
      <c r="I28" s="2623"/>
      <c r="J28" s="2565"/>
      <c r="K28" s="1561" t="s">
        <v>2722</v>
      </c>
      <c r="L28" s="2622"/>
      <c r="M28" s="2623"/>
      <c r="N28" s="2565"/>
      <c r="O28" s="1559" t="s">
        <v>1734</v>
      </c>
      <c r="Q28" s="2624"/>
      <c r="R28" s="2632"/>
      <c r="S28" s="2625"/>
    </row>
    <row r="29" spans="3:19" s="305" customFormat="1" ht="11.25" customHeight="1">
      <c r="E29" s="310" t="s">
        <v>1812</v>
      </c>
      <c r="H29" s="2378"/>
      <c r="K29" s="1562" t="s">
        <v>2245</v>
      </c>
      <c r="L29" s="2627"/>
      <c r="M29" s="2628"/>
      <c r="O29" s="1559" t="s">
        <v>1995</v>
      </c>
      <c r="Q29" s="2624"/>
      <c r="R29" s="2632"/>
      <c r="S29" s="2625"/>
    </row>
    <row r="30" spans="3:19" s="305" customFormat="1" ht="11.25" customHeight="1">
      <c r="D30" s="348"/>
      <c r="E30" s="310" t="s">
        <v>4315</v>
      </c>
      <c r="H30" s="2624"/>
      <c r="I30" s="2625"/>
      <c r="J30" s="2379"/>
      <c r="K30" s="1571" t="s">
        <v>2000</v>
      </c>
      <c r="L30" s="2470"/>
      <c r="M30" s="2471"/>
      <c r="N30" s="2471"/>
      <c r="O30" s="2471"/>
      <c r="P30" s="2471"/>
      <c r="Q30" s="2471"/>
      <c r="R30" s="2471"/>
      <c r="S30" s="2472"/>
    </row>
    <row r="31" spans="3:19" ht="4.1500000000000004" customHeight="1"/>
    <row r="32" spans="3:19" s="305" customFormat="1" ht="11.25" customHeight="1">
      <c r="C32" s="350" t="s">
        <v>2004</v>
      </c>
      <c r="D32" s="347" t="s">
        <v>1873</v>
      </c>
      <c r="H32" s="1570"/>
      <c r="I32" s="1570"/>
      <c r="J32" s="1570"/>
      <c r="K32" s="1417" t="s">
        <v>4314</v>
      </c>
      <c r="L32" s="1570"/>
      <c r="M32" s="1570"/>
    </row>
    <row r="33" spans="3:19" s="305" customFormat="1" ht="11.25" customHeight="1">
      <c r="D33" s="307" t="s">
        <v>2132</v>
      </c>
      <c r="E33" s="305" t="s">
        <v>758</v>
      </c>
      <c r="H33" s="2622" t="s">
        <v>4607</v>
      </c>
      <c r="I33" s="2623"/>
      <c r="J33" s="2623"/>
      <c r="K33" s="2623"/>
      <c r="L33" s="2623"/>
      <c r="M33" s="2623"/>
      <c r="N33" s="2565"/>
      <c r="O33" s="1559" t="s">
        <v>2005</v>
      </c>
      <c r="P33" s="1559"/>
      <c r="Q33" s="2622" t="s">
        <v>4608</v>
      </c>
      <c r="R33" s="2623"/>
      <c r="S33" s="2565"/>
    </row>
    <row r="34" spans="3:19" s="305" customFormat="1" ht="11.25" customHeight="1">
      <c r="D34" s="348"/>
      <c r="E34" s="310" t="s">
        <v>1031</v>
      </c>
      <c r="F34" s="318"/>
      <c r="H34" s="2622" t="s">
        <v>4609</v>
      </c>
      <c r="I34" s="2623"/>
      <c r="J34" s="2623"/>
      <c r="K34" s="2623"/>
      <c r="L34" s="2623"/>
      <c r="M34" s="2623"/>
      <c r="N34" s="2565"/>
      <c r="O34" s="1559" t="s">
        <v>1760</v>
      </c>
      <c r="Q34" s="2622" t="s">
        <v>4610</v>
      </c>
      <c r="R34" s="2623"/>
      <c r="S34" s="2565"/>
    </row>
    <row r="35" spans="3:19" s="305" customFormat="1" ht="11.25" customHeight="1">
      <c r="D35" s="348"/>
      <c r="E35" s="310" t="s">
        <v>624</v>
      </c>
      <c r="H35" s="2622" t="s">
        <v>4611</v>
      </c>
      <c r="I35" s="2623"/>
      <c r="J35" s="2565"/>
      <c r="K35" s="1561" t="s">
        <v>2722</v>
      </c>
      <c r="L35" s="2622" t="s">
        <v>4612</v>
      </c>
      <c r="M35" s="2623"/>
      <c r="N35" s="2565"/>
      <c r="O35" s="1559" t="s">
        <v>1734</v>
      </c>
      <c r="Q35" s="2624">
        <v>7043839705</v>
      </c>
      <c r="R35" s="2632"/>
      <c r="S35" s="2625"/>
    </row>
    <row r="36" spans="3:19" s="305" customFormat="1" ht="11.25" customHeight="1">
      <c r="E36" s="310" t="s">
        <v>1812</v>
      </c>
      <c r="H36" s="2378" t="s">
        <v>1361</v>
      </c>
      <c r="K36" s="1562" t="s">
        <v>2245</v>
      </c>
      <c r="L36" s="2627">
        <v>282880000</v>
      </c>
      <c r="M36" s="2628"/>
      <c r="O36" s="1559" t="s">
        <v>1995</v>
      </c>
      <c r="Q36" s="2624">
        <v>7046079795</v>
      </c>
      <c r="R36" s="2632"/>
      <c r="S36" s="2625"/>
    </row>
    <row r="37" spans="3:19" s="305" customFormat="1" ht="11.25" customHeight="1">
      <c r="D37" s="348"/>
      <c r="E37" s="310" t="s">
        <v>4315</v>
      </c>
      <c r="H37" s="2624">
        <v>7043839705</v>
      </c>
      <c r="I37" s="2625"/>
      <c r="J37" s="2379"/>
      <c r="K37" s="1571" t="s">
        <v>2000</v>
      </c>
      <c r="L37" s="2470" t="s">
        <v>4613</v>
      </c>
      <c r="M37" s="2471"/>
      <c r="N37" s="2471"/>
      <c r="O37" s="2471"/>
      <c r="P37" s="2471"/>
      <c r="Q37" s="2471"/>
      <c r="R37" s="2471"/>
      <c r="S37" s="2472"/>
    </row>
    <row r="38" spans="3:19" ht="4.1500000000000004" customHeight="1">
      <c r="H38" s="2380"/>
      <c r="I38" s="2380"/>
      <c r="J38" s="2380"/>
      <c r="K38" s="1571"/>
      <c r="L38" s="2380"/>
      <c r="M38" s="2380"/>
      <c r="N38" s="1558"/>
      <c r="O38" s="1613"/>
      <c r="P38" s="1613"/>
      <c r="Q38" s="1571"/>
      <c r="R38" s="1613"/>
      <c r="S38" s="1613"/>
    </row>
    <row r="39" spans="3:19" s="305" customFormat="1" ht="11.25" customHeight="1">
      <c r="D39" s="307" t="s">
        <v>2133</v>
      </c>
      <c r="E39" s="305" t="s">
        <v>759</v>
      </c>
      <c r="F39" s="307"/>
      <c r="H39" s="2622" t="s">
        <v>4607</v>
      </c>
      <c r="I39" s="2623"/>
      <c r="J39" s="2623"/>
      <c r="K39" s="2623"/>
      <c r="L39" s="2623"/>
      <c r="M39" s="2623"/>
      <c r="N39" s="2565"/>
      <c r="O39" s="1559" t="s">
        <v>2005</v>
      </c>
      <c r="P39" s="1559"/>
      <c r="Q39" s="2622" t="s">
        <v>4608</v>
      </c>
      <c r="R39" s="2623"/>
      <c r="S39" s="2565"/>
    </row>
    <row r="40" spans="3:19" s="305" customFormat="1" ht="11.25" customHeight="1">
      <c r="D40" s="348"/>
      <c r="E40" s="310" t="s">
        <v>1031</v>
      </c>
      <c r="F40" s="318"/>
      <c r="H40" s="2622" t="s">
        <v>4609</v>
      </c>
      <c r="I40" s="2623"/>
      <c r="J40" s="2623"/>
      <c r="K40" s="2623"/>
      <c r="L40" s="2623"/>
      <c r="M40" s="2623"/>
      <c r="N40" s="2565"/>
      <c r="O40" s="1559" t="s">
        <v>1760</v>
      </c>
      <c r="Q40" s="2622" t="s">
        <v>4610</v>
      </c>
      <c r="R40" s="2623"/>
      <c r="S40" s="2565"/>
    </row>
    <row r="41" spans="3:19" s="305" customFormat="1" ht="11.25" customHeight="1">
      <c r="D41" s="348"/>
      <c r="E41" s="310" t="s">
        <v>624</v>
      </c>
      <c r="H41" s="2622" t="s">
        <v>4611</v>
      </c>
      <c r="I41" s="2623"/>
      <c r="J41" s="2565"/>
      <c r="K41" s="1561" t="s">
        <v>2722</v>
      </c>
      <c r="L41" s="2622" t="s">
        <v>4612</v>
      </c>
      <c r="M41" s="2623"/>
      <c r="N41" s="2565"/>
      <c r="O41" s="1559" t="s">
        <v>1734</v>
      </c>
      <c r="Q41" s="2624">
        <v>7043839705</v>
      </c>
      <c r="R41" s="2632"/>
      <c r="S41" s="2625"/>
    </row>
    <row r="42" spans="3:19" s="305" customFormat="1" ht="11.25" customHeight="1">
      <c r="D42" s="307"/>
      <c r="E42" s="310" t="s">
        <v>1812</v>
      </c>
      <c r="H42" s="2378" t="s">
        <v>1361</v>
      </c>
      <c r="K42" s="1562" t="s">
        <v>2245</v>
      </c>
      <c r="L42" s="2627">
        <v>282880000</v>
      </c>
      <c r="M42" s="2628"/>
      <c r="O42" s="1559" t="s">
        <v>1995</v>
      </c>
      <c r="Q42" s="2624">
        <v>7046079795</v>
      </c>
      <c r="R42" s="2632"/>
      <c r="S42" s="2625"/>
    </row>
    <row r="43" spans="3:19" s="305" customFormat="1" ht="11.25" customHeight="1">
      <c r="D43" s="348"/>
      <c r="E43" s="310" t="s">
        <v>4315</v>
      </c>
      <c r="H43" s="2624">
        <v>7043839705</v>
      </c>
      <c r="I43" s="2625"/>
      <c r="J43" s="2379"/>
      <c r="K43" s="1571" t="s">
        <v>2000</v>
      </c>
      <c r="L43" s="2470" t="s">
        <v>4613</v>
      </c>
      <c r="M43" s="2471"/>
      <c r="N43" s="2471"/>
      <c r="O43" s="2471"/>
      <c r="P43" s="2471"/>
      <c r="Q43" s="2471"/>
      <c r="R43" s="2471"/>
      <c r="S43" s="2472"/>
    </row>
    <row r="44" spans="3:19" s="305" customFormat="1" ht="4.1500000000000004" customHeight="1">
      <c r="D44" s="348"/>
      <c r="E44" s="310"/>
      <c r="F44" s="307"/>
      <c r="H44" s="342"/>
      <c r="I44" s="342"/>
      <c r="J44" s="1614"/>
      <c r="K44" s="1571"/>
      <c r="L44" s="342"/>
      <c r="M44" s="342"/>
      <c r="N44" s="1571"/>
      <c r="O44" s="342"/>
      <c r="P44" s="342"/>
      <c r="Q44" s="1571"/>
      <c r="R44" s="342"/>
      <c r="S44" s="342"/>
    </row>
    <row r="45" spans="3:19" s="305" customFormat="1" ht="11.25" customHeight="1">
      <c r="C45" s="351" t="s">
        <v>2551</v>
      </c>
      <c r="D45" s="347" t="s">
        <v>657</v>
      </c>
      <c r="H45" s="1570"/>
      <c r="I45" s="1570"/>
      <c r="J45" s="1570"/>
      <c r="K45" s="1417" t="s">
        <v>4314</v>
      </c>
      <c r="L45" s="1570"/>
      <c r="M45" s="1570"/>
    </row>
    <row r="46" spans="3:19" s="305" customFormat="1" ht="11.25" customHeight="1">
      <c r="E46" s="305" t="s">
        <v>93</v>
      </c>
      <c r="H46" s="2622" t="s">
        <v>4554</v>
      </c>
      <c r="I46" s="2623"/>
      <c r="J46" s="2623"/>
      <c r="K46" s="2623"/>
      <c r="L46" s="2623"/>
      <c r="M46" s="2623"/>
      <c r="N46" s="2565"/>
      <c r="O46" s="1559" t="s">
        <v>2005</v>
      </c>
      <c r="P46" s="1559"/>
      <c r="Q46" s="2622" t="s">
        <v>4603</v>
      </c>
      <c r="R46" s="2623"/>
      <c r="S46" s="2565"/>
    </row>
    <row r="47" spans="3:19" s="305" customFormat="1" ht="11.25" customHeight="1">
      <c r="D47" s="348"/>
      <c r="E47" s="310" t="s">
        <v>1031</v>
      </c>
      <c r="F47" s="318"/>
      <c r="H47" s="2473" t="s">
        <v>4557</v>
      </c>
      <c r="I47" s="2626"/>
      <c r="J47" s="2626"/>
      <c r="K47" s="2626"/>
      <c r="L47" s="2626"/>
      <c r="M47" s="2626"/>
      <c r="N47" s="2616"/>
      <c r="O47" s="1559" t="s">
        <v>1760</v>
      </c>
      <c r="Q47" s="2473" t="s">
        <v>4560</v>
      </c>
      <c r="R47" s="2626"/>
      <c r="S47" s="2616"/>
    </row>
    <row r="48" spans="3:19" s="305" customFormat="1" ht="11.25" customHeight="1">
      <c r="D48" s="348"/>
      <c r="E48" s="310" t="s">
        <v>624</v>
      </c>
      <c r="H48" s="2622" t="s">
        <v>1332</v>
      </c>
      <c r="I48" s="2623"/>
      <c r="J48" s="2565"/>
      <c r="K48" s="1561" t="s">
        <v>2722</v>
      </c>
      <c r="L48" s="2622"/>
      <c r="M48" s="2623"/>
      <c r="N48" s="2565"/>
      <c r="O48" s="1559" t="s">
        <v>1734</v>
      </c>
      <c r="Q48" s="2619">
        <v>4787525070</v>
      </c>
      <c r="R48" s="2620"/>
      <c r="S48" s="2621"/>
    </row>
    <row r="49" spans="1:19" s="305" customFormat="1" ht="11.25" customHeight="1">
      <c r="E49" s="310" t="s">
        <v>1812</v>
      </c>
      <c r="H49" s="2378" t="s">
        <v>856</v>
      </c>
      <c r="K49" s="1562" t="s">
        <v>2245</v>
      </c>
      <c r="L49" s="2627">
        <v>312012404</v>
      </c>
      <c r="M49" s="2628"/>
      <c r="O49" s="1559" t="s">
        <v>1995</v>
      </c>
      <c r="Q49" s="2619">
        <v>4783207044</v>
      </c>
      <c r="R49" s="2620"/>
      <c r="S49" s="2621"/>
    </row>
    <row r="50" spans="1:19" s="305" customFormat="1" ht="11.25" customHeight="1">
      <c r="D50" s="348"/>
      <c r="E50" s="310" t="s">
        <v>4315</v>
      </c>
      <c r="H50" s="2624">
        <v>4787525070</v>
      </c>
      <c r="I50" s="2625"/>
      <c r="J50" s="2379"/>
      <c r="K50" s="1571" t="s">
        <v>2000</v>
      </c>
      <c r="L50" s="2470" t="s">
        <v>4561</v>
      </c>
      <c r="M50" s="2471"/>
      <c r="N50" s="2471"/>
      <c r="O50" s="2471"/>
      <c r="P50" s="2471"/>
      <c r="Q50" s="2471"/>
      <c r="R50" s="2471"/>
      <c r="S50" s="2472"/>
    </row>
    <row r="51" spans="1:19" ht="6.75" customHeight="1"/>
    <row r="52" spans="1:19" s="305" customFormat="1" ht="13.15" customHeight="1">
      <c r="A52" s="307" t="s">
        <v>748</v>
      </c>
      <c r="B52" s="307" t="s">
        <v>658</v>
      </c>
      <c r="F52" s="307"/>
      <c r="G52" s="1571"/>
      <c r="H52" s="1571"/>
      <c r="I52" s="1571"/>
      <c r="J52" s="1570"/>
      <c r="K52" s="1417" t="s">
        <v>4314</v>
      </c>
      <c r="L52" s="1570"/>
      <c r="M52" s="1570"/>
      <c r="N52" s="1570"/>
      <c r="O52" s="1570"/>
      <c r="P52" s="1570"/>
      <c r="Q52" s="1570"/>
      <c r="R52" s="1570"/>
      <c r="S52" s="1570"/>
    </row>
    <row r="53" spans="1:19" s="305" customFormat="1" ht="3" customHeight="1">
      <c r="A53" s="307"/>
      <c r="B53" s="307"/>
      <c r="F53" s="307"/>
      <c r="G53" s="1571"/>
      <c r="H53" s="2381"/>
      <c r="I53" s="2381"/>
      <c r="J53" s="2381"/>
      <c r="K53" s="1558"/>
      <c r="L53" s="2381"/>
      <c r="M53" s="2381"/>
      <c r="N53" s="1558"/>
      <c r="O53" s="1613"/>
      <c r="P53" s="1613"/>
      <c r="Q53" s="1571"/>
      <c r="R53" s="1613"/>
      <c r="S53" s="1613"/>
    </row>
    <row r="54" spans="1:19" s="305" customFormat="1" ht="11.25" customHeight="1">
      <c r="B54" s="307" t="s">
        <v>1999</v>
      </c>
      <c r="C54" s="307" t="s">
        <v>284</v>
      </c>
      <c r="H54" s="2622" t="s">
        <v>4554</v>
      </c>
      <c r="I54" s="2623"/>
      <c r="J54" s="2623"/>
      <c r="K54" s="2623"/>
      <c r="L54" s="2623"/>
      <c r="M54" s="2623"/>
      <c r="N54" s="2565"/>
      <c r="O54" s="1559" t="s">
        <v>2005</v>
      </c>
      <c r="P54" s="1559"/>
      <c r="Q54" s="2622" t="s">
        <v>4603</v>
      </c>
      <c r="R54" s="2623"/>
      <c r="S54" s="2565"/>
    </row>
    <row r="55" spans="1:19" s="305" customFormat="1" ht="11.25" customHeight="1">
      <c r="D55" s="348"/>
      <c r="E55" s="310" t="s">
        <v>1031</v>
      </c>
      <c r="F55" s="318"/>
      <c r="H55" s="2473" t="s">
        <v>4557</v>
      </c>
      <c r="I55" s="2626"/>
      <c r="J55" s="2626"/>
      <c r="K55" s="2626"/>
      <c r="L55" s="2626"/>
      <c r="M55" s="2626"/>
      <c r="N55" s="2616"/>
      <c r="O55" s="1559" t="s">
        <v>1760</v>
      </c>
      <c r="Q55" s="2473" t="s">
        <v>4560</v>
      </c>
      <c r="R55" s="2626"/>
      <c r="S55" s="2616"/>
    </row>
    <row r="56" spans="1:19" s="305" customFormat="1" ht="11.25" customHeight="1">
      <c r="D56" s="348"/>
      <c r="E56" s="310" t="s">
        <v>624</v>
      </c>
      <c r="H56" s="2622" t="s">
        <v>1332</v>
      </c>
      <c r="I56" s="2623"/>
      <c r="J56" s="2565"/>
      <c r="K56" s="1561" t="s">
        <v>2722</v>
      </c>
      <c r="L56" s="2622"/>
      <c r="M56" s="2623"/>
      <c r="N56" s="2565"/>
      <c r="O56" s="1559" t="s">
        <v>1734</v>
      </c>
      <c r="Q56" s="2619">
        <v>4787525070</v>
      </c>
      <c r="R56" s="2620"/>
      <c r="S56" s="2621"/>
    </row>
    <row r="57" spans="1:19" s="305" customFormat="1" ht="11.25" customHeight="1">
      <c r="E57" s="310" t="s">
        <v>1812</v>
      </c>
      <c r="H57" s="2378" t="s">
        <v>856</v>
      </c>
      <c r="K57" s="1562" t="s">
        <v>2245</v>
      </c>
      <c r="L57" s="2627">
        <v>312012404</v>
      </c>
      <c r="M57" s="2628"/>
      <c r="O57" s="1559" t="s">
        <v>1995</v>
      </c>
      <c r="Q57" s="2619">
        <v>4783207044</v>
      </c>
      <c r="R57" s="2620"/>
      <c r="S57" s="2621"/>
    </row>
    <row r="58" spans="1:19" s="305" customFormat="1" ht="11.25" customHeight="1">
      <c r="D58" s="348"/>
      <c r="E58" s="310" t="s">
        <v>4315</v>
      </c>
      <c r="H58" s="2624">
        <v>4787525070</v>
      </c>
      <c r="I58" s="2625"/>
      <c r="J58" s="2379"/>
      <c r="K58" s="1571" t="s">
        <v>2000</v>
      </c>
      <c r="L58" s="2470" t="s">
        <v>4561</v>
      </c>
      <c r="M58" s="2471"/>
      <c r="N58" s="2471"/>
      <c r="O58" s="2471"/>
      <c r="P58" s="2471"/>
      <c r="Q58" s="2471"/>
      <c r="R58" s="2471"/>
      <c r="S58" s="2472"/>
    </row>
    <row r="59" spans="1:19" s="305" customFormat="1" ht="6.6" customHeight="1">
      <c r="D59" s="348"/>
      <c r="E59" s="1570"/>
      <c r="F59" s="1570"/>
      <c r="G59" s="1559"/>
      <c r="H59" s="2380"/>
      <c r="I59" s="2380"/>
      <c r="J59" s="2380"/>
      <c r="K59" s="1571"/>
      <c r="L59" s="2380"/>
      <c r="M59" s="2380"/>
      <c r="N59" s="1558"/>
      <c r="O59" s="1613"/>
      <c r="P59" s="1613"/>
      <c r="Q59" s="1571"/>
      <c r="R59" s="1613"/>
      <c r="S59" s="1613"/>
    </row>
    <row r="60" spans="1:19" s="305" customFormat="1" ht="11.25" customHeight="1">
      <c r="B60" s="307" t="s">
        <v>2001</v>
      </c>
      <c r="C60" s="307" t="s">
        <v>285</v>
      </c>
      <c r="H60" s="2622"/>
      <c r="I60" s="2623"/>
      <c r="J60" s="2623"/>
      <c r="K60" s="2623"/>
      <c r="L60" s="2623"/>
      <c r="M60" s="2623"/>
      <c r="N60" s="2565"/>
      <c r="O60" s="1559" t="s">
        <v>2005</v>
      </c>
      <c r="P60" s="1559"/>
      <c r="Q60" s="2622"/>
      <c r="R60" s="2623"/>
      <c r="S60" s="2565"/>
    </row>
    <row r="61" spans="1:19" s="305" customFormat="1" ht="11.25" customHeight="1">
      <c r="D61" s="348"/>
      <c r="E61" s="310" t="s">
        <v>1031</v>
      </c>
      <c r="F61" s="318"/>
      <c r="H61" s="2622"/>
      <c r="I61" s="2623"/>
      <c r="J61" s="2623"/>
      <c r="K61" s="2623"/>
      <c r="L61" s="2623"/>
      <c r="M61" s="2623"/>
      <c r="N61" s="2565"/>
      <c r="O61" s="1559" t="s">
        <v>1760</v>
      </c>
      <c r="Q61" s="2622"/>
      <c r="R61" s="2623"/>
      <c r="S61" s="2565"/>
    </row>
    <row r="62" spans="1:19" s="305" customFormat="1" ht="11.25" customHeight="1">
      <c r="D62" s="348"/>
      <c r="E62" s="310" t="s">
        <v>624</v>
      </c>
      <c r="H62" s="2622"/>
      <c r="I62" s="2623"/>
      <c r="J62" s="2565"/>
      <c r="K62" s="1561" t="s">
        <v>2722</v>
      </c>
      <c r="L62" s="2622"/>
      <c r="M62" s="2623"/>
      <c r="N62" s="2565"/>
      <c r="O62" s="1559" t="s">
        <v>1734</v>
      </c>
      <c r="Q62" s="2624"/>
      <c r="R62" s="2632"/>
      <c r="S62" s="2625"/>
    </row>
    <row r="63" spans="1:19" s="305" customFormat="1" ht="11.25" customHeight="1">
      <c r="E63" s="310" t="s">
        <v>1812</v>
      </c>
      <c r="H63" s="2378"/>
      <c r="K63" s="1562" t="s">
        <v>2245</v>
      </c>
      <c r="L63" s="2633"/>
      <c r="M63" s="2634"/>
      <c r="O63" s="1559" t="s">
        <v>1995</v>
      </c>
      <c r="Q63" s="2624"/>
      <c r="R63" s="2632"/>
      <c r="S63" s="2625"/>
    </row>
    <row r="64" spans="1:19" s="305" customFormat="1" ht="11.25" customHeight="1">
      <c r="D64" s="348"/>
      <c r="E64" s="310" t="s">
        <v>4315</v>
      </c>
      <c r="H64" s="2624"/>
      <c r="I64" s="2625"/>
      <c r="J64" s="2379"/>
      <c r="K64" s="1571" t="s">
        <v>2000</v>
      </c>
      <c r="L64" s="2470"/>
      <c r="M64" s="2471"/>
      <c r="N64" s="2471"/>
      <c r="O64" s="2471"/>
      <c r="P64" s="2471"/>
      <c r="Q64" s="2471"/>
      <c r="R64" s="2471"/>
      <c r="S64" s="2472"/>
    </row>
    <row r="65" spans="1:19" s="305" customFormat="1" ht="6.6" customHeight="1">
      <c r="D65" s="348"/>
      <c r="E65" s="1570"/>
      <c r="F65" s="1570"/>
      <c r="G65" s="1559"/>
      <c r="H65" s="2380"/>
      <c r="I65" s="2380"/>
      <c r="J65" s="2380"/>
      <c r="K65" s="1571"/>
      <c r="L65" s="2380"/>
      <c r="M65" s="2380"/>
      <c r="N65" s="1558"/>
      <c r="O65" s="1613"/>
      <c r="P65" s="1613"/>
      <c r="Q65" s="1571"/>
      <c r="R65" s="1613"/>
      <c r="S65" s="1613"/>
    </row>
    <row r="66" spans="1:19" s="305" customFormat="1" ht="11.25" customHeight="1">
      <c r="B66" s="307" t="s">
        <v>757</v>
      </c>
      <c r="C66" s="307" t="s">
        <v>1540</v>
      </c>
      <c r="H66" s="2622"/>
      <c r="I66" s="2623"/>
      <c r="J66" s="2623"/>
      <c r="K66" s="2623"/>
      <c r="L66" s="2623"/>
      <c r="M66" s="2623"/>
      <c r="N66" s="2565"/>
      <c r="O66" s="1559" t="s">
        <v>2005</v>
      </c>
      <c r="P66" s="1559"/>
      <c r="Q66" s="2622"/>
      <c r="R66" s="2623"/>
      <c r="S66" s="2565"/>
    </row>
    <row r="67" spans="1:19" s="305" customFormat="1" ht="11.25" customHeight="1">
      <c r="D67" s="348"/>
      <c r="E67" s="310" t="s">
        <v>1031</v>
      </c>
      <c r="F67" s="318"/>
      <c r="H67" s="2622"/>
      <c r="I67" s="2623"/>
      <c r="J67" s="2623"/>
      <c r="K67" s="2623"/>
      <c r="L67" s="2623"/>
      <c r="M67" s="2623"/>
      <c r="N67" s="2565"/>
      <c r="O67" s="1559" t="s">
        <v>1760</v>
      </c>
      <c r="Q67" s="2622"/>
      <c r="R67" s="2623"/>
      <c r="S67" s="2565"/>
    </row>
    <row r="68" spans="1:19" s="305" customFormat="1" ht="11.25" customHeight="1">
      <c r="D68" s="348"/>
      <c r="E68" s="310" t="s">
        <v>624</v>
      </c>
      <c r="H68" s="2622"/>
      <c r="I68" s="2623"/>
      <c r="J68" s="2565"/>
      <c r="K68" s="1561" t="s">
        <v>2722</v>
      </c>
      <c r="L68" s="2622"/>
      <c r="M68" s="2623"/>
      <c r="N68" s="2565"/>
      <c r="O68" s="1559" t="s">
        <v>1734</v>
      </c>
      <c r="Q68" s="2624"/>
      <c r="R68" s="2632"/>
      <c r="S68" s="2625"/>
    </row>
    <row r="69" spans="1:19" s="305" customFormat="1" ht="11.25" customHeight="1">
      <c r="E69" s="310" t="s">
        <v>1812</v>
      </c>
      <c r="H69" s="2378"/>
      <c r="K69" s="1562" t="s">
        <v>2245</v>
      </c>
      <c r="L69" s="2627"/>
      <c r="M69" s="2628"/>
      <c r="O69" s="1559" t="s">
        <v>1995</v>
      </c>
      <c r="Q69" s="2624"/>
      <c r="R69" s="2632"/>
      <c r="S69" s="2625"/>
    </row>
    <row r="70" spans="1:19" s="305" customFormat="1" ht="11.25" customHeight="1">
      <c r="D70" s="348"/>
      <c r="E70" s="310" t="s">
        <v>4315</v>
      </c>
      <c r="H70" s="2624"/>
      <c r="I70" s="2625"/>
      <c r="J70" s="2379"/>
      <c r="K70" s="1571" t="s">
        <v>2000</v>
      </c>
      <c r="L70" s="2470"/>
      <c r="M70" s="2471"/>
      <c r="N70" s="2471"/>
      <c r="O70" s="2471"/>
      <c r="P70" s="2471"/>
      <c r="Q70" s="2471"/>
      <c r="R70" s="2471"/>
      <c r="S70" s="2472"/>
    </row>
    <row r="71" spans="1:19" ht="6.6" customHeight="1">
      <c r="H71" s="2380"/>
      <c r="I71" s="2380"/>
      <c r="J71" s="2380"/>
      <c r="K71" s="1571"/>
      <c r="L71" s="2380"/>
      <c r="M71" s="2380"/>
      <c r="N71" s="1558"/>
      <c r="O71" s="1613"/>
      <c r="P71" s="1613"/>
      <c r="Q71" s="1571"/>
      <c r="R71" s="1613"/>
      <c r="S71" s="1613"/>
    </row>
    <row r="72" spans="1:19" s="305" customFormat="1" ht="11.25" customHeight="1">
      <c r="B72" s="307" t="s">
        <v>2131</v>
      </c>
      <c r="C72" s="307" t="s">
        <v>286</v>
      </c>
      <c r="H72" s="2622"/>
      <c r="I72" s="2623"/>
      <c r="J72" s="2623"/>
      <c r="K72" s="2623"/>
      <c r="L72" s="2623"/>
      <c r="M72" s="2623"/>
      <c r="N72" s="2565"/>
      <c r="O72" s="1559" t="s">
        <v>2005</v>
      </c>
      <c r="P72" s="1559"/>
      <c r="Q72" s="2622"/>
      <c r="R72" s="2623"/>
      <c r="S72" s="2565"/>
    </row>
    <row r="73" spans="1:19" s="305" customFormat="1" ht="11.25" customHeight="1">
      <c r="D73" s="348"/>
      <c r="E73" s="310" t="s">
        <v>1031</v>
      </c>
      <c r="F73" s="318"/>
      <c r="H73" s="2622"/>
      <c r="I73" s="2623"/>
      <c r="J73" s="2623"/>
      <c r="K73" s="2623"/>
      <c r="L73" s="2623"/>
      <c r="M73" s="2623"/>
      <c r="N73" s="2565"/>
      <c r="O73" s="1559" t="s">
        <v>1760</v>
      </c>
      <c r="Q73" s="2622"/>
      <c r="R73" s="2623"/>
      <c r="S73" s="2565"/>
    </row>
    <row r="74" spans="1:19" s="305" customFormat="1" ht="11.25" customHeight="1">
      <c r="D74" s="348"/>
      <c r="E74" s="310" t="s">
        <v>624</v>
      </c>
      <c r="H74" s="2622"/>
      <c r="I74" s="2623"/>
      <c r="J74" s="2565"/>
      <c r="K74" s="1561" t="s">
        <v>2722</v>
      </c>
      <c r="L74" s="2622"/>
      <c r="M74" s="2623"/>
      <c r="N74" s="2565"/>
      <c r="O74" s="1559" t="s">
        <v>1734</v>
      </c>
      <c r="Q74" s="2624"/>
      <c r="R74" s="2632"/>
      <c r="S74" s="2625"/>
    </row>
    <row r="75" spans="1:19" s="305" customFormat="1" ht="11.25" customHeight="1">
      <c r="E75" s="310" t="s">
        <v>1812</v>
      </c>
      <c r="H75" s="2378"/>
      <c r="K75" s="1562" t="s">
        <v>2245</v>
      </c>
      <c r="L75" s="2627"/>
      <c r="M75" s="2628"/>
      <c r="O75" s="1559" t="s">
        <v>1995</v>
      </c>
      <c r="Q75" s="2624"/>
      <c r="R75" s="2632"/>
      <c r="S75" s="2625"/>
    </row>
    <row r="76" spans="1:19" s="305" customFormat="1" ht="11.25" customHeight="1">
      <c r="D76" s="348"/>
      <c r="E76" s="310" t="s">
        <v>4315</v>
      </c>
      <c r="H76" s="2624"/>
      <c r="I76" s="2625"/>
      <c r="J76" s="2379"/>
      <c r="K76" s="1571" t="s">
        <v>2000</v>
      </c>
      <c r="L76" s="2470"/>
      <c r="M76" s="2471"/>
      <c r="N76" s="2471"/>
      <c r="O76" s="2471"/>
      <c r="P76" s="2471"/>
      <c r="Q76" s="2471"/>
      <c r="R76" s="2471"/>
      <c r="S76" s="2472"/>
    </row>
    <row r="77" spans="1:19" ht="6.75" customHeight="1"/>
    <row r="78" spans="1:19" s="310" customFormat="1" ht="13.15" customHeight="1">
      <c r="A78" s="311" t="s">
        <v>750</v>
      </c>
      <c r="B78" s="311" t="s">
        <v>287</v>
      </c>
      <c r="D78" s="311"/>
      <c r="E78" s="1559"/>
      <c r="F78" s="277"/>
      <c r="G78" s="277"/>
      <c r="H78" s="277"/>
      <c r="I78" s="277"/>
      <c r="J78" s="277"/>
      <c r="K78" s="1417" t="s">
        <v>4314</v>
      </c>
      <c r="L78" s="277"/>
      <c r="M78" s="277"/>
    </row>
    <row r="79" spans="1:19" s="310" customFormat="1" ht="3" customHeight="1">
      <c r="A79" s="311"/>
      <c r="B79" s="311"/>
      <c r="D79" s="311"/>
      <c r="E79" s="1559"/>
      <c r="F79" s="277"/>
      <c r="G79" s="277"/>
      <c r="H79" s="2381"/>
      <c r="I79" s="2381"/>
      <c r="J79" s="2381"/>
      <c r="K79" s="1558"/>
      <c r="L79" s="2381"/>
      <c r="M79" s="2381"/>
      <c r="N79" s="1558"/>
      <c r="O79" s="1613"/>
      <c r="P79" s="1613"/>
      <c r="Q79" s="1571"/>
      <c r="R79" s="1613"/>
      <c r="S79" s="1613"/>
    </row>
    <row r="80" spans="1:19" s="305" customFormat="1" ht="11.25" customHeight="1">
      <c r="B80" s="307" t="s">
        <v>1999</v>
      </c>
      <c r="C80" s="307" t="s">
        <v>288</v>
      </c>
      <c r="H80" s="2622"/>
      <c r="I80" s="2623"/>
      <c r="J80" s="2623"/>
      <c r="K80" s="2623"/>
      <c r="L80" s="2623"/>
      <c r="M80" s="2623"/>
      <c r="N80" s="2565"/>
      <c r="O80" s="1559" t="s">
        <v>2005</v>
      </c>
      <c r="P80" s="1559"/>
      <c r="Q80" s="2622"/>
      <c r="R80" s="2623"/>
      <c r="S80" s="2565"/>
    </row>
    <row r="81" spans="2:19" s="305" customFormat="1" ht="11.25" customHeight="1">
      <c r="D81" s="348"/>
      <c r="E81" s="310" t="s">
        <v>1031</v>
      </c>
      <c r="F81" s="318"/>
      <c r="H81" s="2622"/>
      <c r="I81" s="2623"/>
      <c r="J81" s="2623"/>
      <c r="K81" s="2623"/>
      <c r="L81" s="2623"/>
      <c r="M81" s="2623"/>
      <c r="N81" s="2565"/>
      <c r="O81" s="1559" t="s">
        <v>1760</v>
      </c>
      <c r="Q81" s="2622"/>
      <c r="R81" s="2623"/>
      <c r="S81" s="2565"/>
    </row>
    <row r="82" spans="2:19" s="305" customFormat="1" ht="11.25" customHeight="1">
      <c r="D82" s="348"/>
      <c r="E82" s="310" t="s">
        <v>624</v>
      </c>
      <c r="H82" s="2622"/>
      <c r="I82" s="2623"/>
      <c r="J82" s="2565"/>
      <c r="K82" s="1561" t="s">
        <v>2722</v>
      </c>
      <c r="L82" s="2622"/>
      <c r="M82" s="2623"/>
      <c r="N82" s="2565"/>
      <c r="O82" s="1559" t="s">
        <v>1734</v>
      </c>
      <c r="Q82" s="2624"/>
      <c r="R82" s="2632"/>
      <c r="S82" s="2625"/>
    </row>
    <row r="83" spans="2:19" s="305" customFormat="1" ht="11.25" customHeight="1">
      <c r="E83" s="310" t="s">
        <v>1812</v>
      </c>
      <c r="H83" s="2378"/>
      <c r="K83" s="1562" t="s">
        <v>2245</v>
      </c>
      <c r="L83" s="2627"/>
      <c r="M83" s="2628"/>
      <c r="O83" s="1559" t="s">
        <v>1995</v>
      </c>
      <c r="Q83" s="2624"/>
      <c r="R83" s="2632"/>
      <c r="S83" s="2625"/>
    </row>
    <row r="84" spans="2:19" s="305" customFormat="1" ht="11.25" customHeight="1">
      <c r="D84" s="348"/>
      <c r="E84" s="310" t="s">
        <v>4315</v>
      </c>
      <c r="H84" s="2624"/>
      <c r="I84" s="2625"/>
      <c r="J84" s="2379"/>
      <c r="K84" s="1571" t="s">
        <v>2000</v>
      </c>
      <c r="L84" s="2470"/>
      <c r="M84" s="2471"/>
      <c r="N84" s="2471"/>
      <c r="O84" s="2471"/>
      <c r="P84" s="2471"/>
      <c r="Q84" s="2471"/>
      <c r="R84" s="2471"/>
      <c r="S84" s="2472"/>
    </row>
    <row r="85" spans="2:19" ht="6.6" customHeight="1">
      <c r="H85" s="2380"/>
      <c r="I85" s="2380"/>
      <c r="J85" s="2380"/>
      <c r="K85" s="1571"/>
      <c r="L85" s="2380"/>
      <c r="M85" s="2380"/>
      <c r="N85" s="1558"/>
      <c r="O85" s="1613"/>
      <c r="P85" s="1613"/>
      <c r="Q85" s="1571"/>
      <c r="R85" s="1613"/>
      <c r="S85" s="1613"/>
    </row>
    <row r="86" spans="2:19" s="305" customFormat="1" ht="11.25" customHeight="1">
      <c r="B86" s="307" t="s">
        <v>2001</v>
      </c>
      <c r="C86" s="307" t="s">
        <v>289</v>
      </c>
      <c r="H86" s="2622" t="s">
        <v>4614</v>
      </c>
      <c r="I86" s="2623"/>
      <c r="J86" s="2623"/>
      <c r="K86" s="2623"/>
      <c r="L86" s="2623"/>
      <c r="M86" s="2623"/>
      <c r="N86" s="2565"/>
      <c r="O86" s="1559" t="s">
        <v>2005</v>
      </c>
      <c r="P86" s="1559"/>
      <c r="Q86" s="2622"/>
      <c r="R86" s="2623"/>
      <c r="S86" s="2565"/>
    </row>
    <row r="87" spans="2:19" s="305" customFormat="1" ht="11.25" customHeight="1">
      <c r="D87" s="348"/>
      <c r="E87" s="310" t="s">
        <v>1031</v>
      </c>
      <c r="F87" s="318"/>
      <c r="H87" s="2622"/>
      <c r="I87" s="2623"/>
      <c r="J87" s="2623"/>
      <c r="K87" s="2623"/>
      <c r="L87" s="2623"/>
      <c r="M87" s="2623"/>
      <c r="N87" s="2565"/>
      <c r="O87" s="1559" t="s">
        <v>1760</v>
      </c>
      <c r="Q87" s="2622"/>
      <c r="R87" s="2623"/>
      <c r="S87" s="2565"/>
    </row>
    <row r="88" spans="2:19" s="305" customFormat="1" ht="11.25" customHeight="1">
      <c r="D88" s="348"/>
      <c r="E88" s="310" t="s">
        <v>624</v>
      </c>
      <c r="H88" s="2622"/>
      <c r="I88" s="2623"/>
      <c r="J88" s="2565"/>
      <c r="K88" s="1561" t="s">
        <v>2722</v>
      </c>
      <c r="L88" s="2622"/>
      <c r="M88" s="2623"/>
      <c r="N88" s="2565"/>
      <c r="O88" s="1559" t="s">
        <v>1734</v>
      </c>
      <c r="Q88" s="2624"/>
      <c r="R88" s="2632"/>
      <c r="S88" s="2625"/>
    </row>
    <row r="89" spans="2:19" s="305" customFormat="1" ht="11.25" customHeight="1">
      <c r="E89" s="310" t="s">
        <v>1812</v>
      </c>
      <c r="H89" s="2378"/>
      <c r="K89" s="1562" t="s">
        <v>2245</v>
      </c>
      <c r="L89" s="2627"/>
      <c r="M89" s="2628"/>
      <c r="O89" s="1559" t="s">
        <v>1995</v>
      </c>
      <c r="Q89" s="2624"/>
      <c r="R89" s="2632"/>
      <c r="S89" s="2625"/>
    </row>
    <row r="90" spans="2:19" s="305" customFormat="1" ht="11.25" customHeight="1">
      <c r="D90" s="348"/>
      <c r="E90" s="310" t="s">
        <v>4315</v>
      </c>
      <c r="H90" s="2624"/>
      <c r="I90" s="2625"/>
      <c r="J90" s="2379"/>
      <c r="K90" s="1571" t="s">
        <v>2000</v>
      </c>
      <c r="L90" s="2470"/>
      <c r="M90" s="2471"/>
      <c r="N90" s="2471"/>
      <c r="O90" s="2471"/>
      <c r="P90" s="2471"/>
      <c r="Q90" s="2471"/>
      <c r="R90" s="2471"/>
      <c r="S90" s="2472"/>
    </row>
    <row r="91" spans="2:19" ht="6.6" customHeight="1">
      <c r="H91" s="2380"/>
      <c r="I91" s="2380"/>
      <c r="J91" s="2380"/>
      <c r="K91" s="1571"/>
      <c r="L91" s="2380"/>
      <c r="M91" s="2380"/>
      <c r="N91" s="1558"/>
      <c r="O91" s="1613"/>
      <c r="P91" s="1613"/>
      <c r="Q91" s="1571"/>
      <c r="R91" s="1613"/>
      <c r="S91" s="1613"/>
    </row>
    <row r="92" spans="2:19" s="305" customFormat="1" ht="11.25" customHeight="1">
      <c r="B92" s="307" t="s">
        <v>757</v>
      </c>
      <c r="C92" s="307" t="s">
        <v>290</v>
      </c>
      <c r="F92" s="324"/>
      <c r="H92" s="2622" t="s">
        <v>4574</v>
      </c>
      <c r="I92" s="2623"/>
      <c r="J92" s="2623"/>
      <c r="K92" s="2623"/>
      <c r="L92" s="2623"/>
      <c r="M92" s="2623"/>
      <c r="N92" s="2565"/>
      <c r="O92" s="1559" t="s">
        <v>2005</v>
      </c>
      <c r="P92" s="1559"/>
      <c r="Q92" s="2622" t="s">
        <v>4603</v>
      </c>
      <c r="R92" s="2623"/>
      <c r="S92" s="2565"/>
    </row>
    <row r="93" spans="2:19" s="305" customFormat="1" ht="11.25" customHeight="1">
      <c r="D93" s="348"/>
      <c r="E93" s="310" t="s">
        <v>1031</v>
      </c>
      <c r="F93" s="318"/>
      <c r="H93" s="2622" t="s">
        <v>4557</v>
      </c>
      <c r="I93" s="2623"/>
      <c r="J93" s="2623"/>
      <c r="K93" s="2623"/>
      <c r="L93" s="2623"/>
      <c r="M93" s="2623"/>
      <c r="N93" s="2565"/>
      <c r="O93" s="1559" t="s">
        <v>1760</v>
      </c>
      <c r="Q93" s="2473" t="s">
        <v>4560</v>
      </c>
      <c r="R93" s="2626"/>
      <c r="S93" s="2616"/>
    </row>
    <row r="94" spans="2:19" s="305" customFormat="1" ht="11.25" customHeight="1">
      <c r="D94" s="348"/>
      <c r="E94" s="310" t="s">
        <v>624</v>
      </c>
      <c r="H94" s="2622" t="s">
        <v>4575</v>
      </c>
      <c r="I94" s="2623"/>
      <c r="J94" s="2565"/>
      <c r="K94" s="1561" t="s">
        <v>2722</v>
      </c>
      <c r="L94" s="2622"/>
      <c r="M94" s="2623"/>
      <c r="N94" s="2565"/>
      <c r="O94" s="1559" t="s">
        <v>1734</v>
      </c>
      <c r="Q94" s="2619">
        <v>4787525070</v>
      </c>
      <c r="R94" s="2620"/>
      <c r="S94" s="2621"/>
    </row>
    <row r="95" spans="2:19" s="305" customFormat="1" ht="11.25" customHeight="1">
      <c r="D95" s="348"/>
      <c r="E95" s="310" t="s">
        <v>1812</v>
      </c>
      <c r="H95" s="2378" t="s">
        <v>856</v>
      </c>
      <c r="K95" s="1562" t="s">
        <v>2245</v>
      </c>
      <c r="L95" s="2627">
        <v>312012404</v>
      </c>
      <c r="M95" s="2628"/>
      <c r="O95" s="1559" t="s">
        <v>1995</v>
      </c>
      <c r="Q95" s="2619">
        <v>4783207044</v>
      </c>
      <c r="R95" s="2620"/>
      <c r="S95" s="2621"/>
    </row>
    <row r="96" spans="2:19" s="305" customFormat="1" ht="11.25" customHeight="1">
      <c r="D96" s="348"/>
      <c r="E96" s="310" t="s">
        <v>4315</v>
      </c>
      <c r="H96" s="2624">
        <v>4787525070</v>
      </c>
      <c r="I96" s="2625"/>
      <c r="J96" s="2379"/>
      <c r="K96" s="1571" t="s">
        <v>2000</v>
      </c>
      <c r="L96" s="2470" t="s">
        <v>4561</v>
      </c>
      <c r="M96" s="2471"/>
      <c r="N96" s="2471"/>
      <c r="O96" s="2471"/>
      <c r="P96" s="2471"/>
      <c r="Q96" s="2471"/>
      <c r="R96" s="2471"/>
      <c r="S96" s="2472"/>
    </row>
    <row r="97" spans="2:19" ht="6.6" customHeight="1">
      <c r="H97" s="2380"/>
      <c r="I97" s="2380"/>
      <c r="J97" s="2380"/>
      <c r="K97" s="1571"/>
      <c r="L97" s="2380"/>
      <c r="M97" s="2380"/>
      <c r="N97" s="1558"/>
      <c r="O97" s="1613"/>
      <c r="P97" s="1613"/>
      <c r="Q97" s="1571"/>
      <c r="R97" s="1613"/>
      <c r="S97" s="1613"/>
    </row>
    <row r="98" spans="2:19" s="305" customFormat="1" ht="11.25" customHeight="1">
      <c r="B98" s="307" t="s">
        <v>2131</v>
      </c>
      <c r="C98" s="307" t="s">
        <v>291</v>
      </c>
      <c r="H98" s="2622" t="s">
        <v>4615</v>
      </c>
      <c r="I98" s="2623"/>
      <c r="J98" s="2623"/>
      <c r="K98" s="2623"/>
      <c r="L98" s="2623"/>
      <c r="M98" s="2623"/>
      <c r="N98" s="2565"/>
      <c r="O98" s="1559" t="s">
        <v>2005</v>
      </c>
      <c r="P98" s="1559"/>
      <c r="Q98" s="2622" t="s">
        <v>4616</v>
      </c>
      <c r="R98" s="2623"/>
      <c r="S98" s="2565"/>
    </row>
    <row r="99" spans="2:19" s="305" customFormat="1" ht="11.25" customHeight="1">
      <c r="D99" s="348"/>
      <c r="E99" s="310" t="s">
        <v>1031</v>
      </c>
      <c r="F99" s="318"/>
      <c r="H99" s="2622" t="s">
        <v>4730</v>
      </c>
      <c r="I99" s="2623"/>
      <c r="J99" s="2623"/>
      <c r="K99" s="2623"/>
      <c r="L99" s="2623"/>
      <c r="M99" s="2623"/>
      <c r="N99" s="2565"/>
      <c r="O99" s="1559" t="s">
        <v>1760</v>
      </c>
      <c r="Q99" s="2622" t="s">
        <v>4617</v>
      </c>
      <c r="R99" s="2623"/>
      <c r="S99" s="2565"/>
    </row>
    <row r="100" spans="2:19" s="305" customFormat="1" ht="11.25" customHeight="1">
      <c r="D100" s="348"/>
      <c r="E100" s="310" t="s">
        <v>624</v>
      </c>
      <c r="H100" s="2622" t="s">
        <v>1332</v>
      </c>
      <c r="I100" s="2623"/>
      <c r="J100" s="2565"/>
      <c r="K100" s="1561" t="s">
        <v>2722</v>
      </c>
      <c r="L100" s="2622" t="s">
        <v>4618</v>
      </c>
      <c r="M100" s="2623"/>
      <c r="N100" s="2565"/>
      <c r="O100" s="1559" t="s">
        <v>1734</v>
      </c>
      <c r="Q100" s="2624">
        <v>4782547985</v>
      </c>
      <c r="R100" s="2632"/>
      <c r="S100" s="2625"/>
    </row>
    <row r="101" spans="2:19" s="305" customFormat="1" ht="11.25" customHeight="1">
      <c r="D101" s="348"/>
      <c r="E101" s="310" t="s">
        <v>1812</v>
      </c>
      <c r="H101" s="2378" t="s">
        <v>856</v>
      </c>
      <c r="K101" s="1562" t="s">
        <v>2245</v>
      </c>
      <c r="L101" s="2627">
        <v>312010000</v>
      </c>
      <c r="M101" s="2628"/>
      <c r="O101" s="1559" t="s">
        <v>1995</v>
      </c>
      <c r="Q101" s="2624">
        <v>4782561808</v>
      </c>
      <c r="R101" s="2632"/>
      <c r="S101" s="2625"/>
    </row>
    <row r="102" spans="2:19" ht="11.25" customHeight="1">
      <c r="E102" s="310" t="s">
        <v>4315</v>
      </c>
      <c r="F102" s="305"/>
      <c r="G102" s="305"/>
      <c r="H102" s="2624">
        <v>4788548866</v>
      </c>
      <c r="I102" s="2625"/>
      <c r="J102" s="2379"/>
      <c r="K102" s="1571" t="s">
        <v>2000</v>
      </c>
      <c r="L102" s="2470" t="s">
        <v>4619</v>
      </c>
      <c r="M102" s="2471"/>
      <c r="N102" s="2471"/>
      <c r="O102" s="2471"/>
      <c r="P102" s="2471"/>
      <c r="Q102" s="2471"/>
      <c r="R102" s="2471"/>
      <c r="S102" s="2472"/>
    </row>
    <row r="103" spans="2:19" ht="6" customHeight="1">
      <c r="E103" s="310"/>
      <c r="F103" s="305"/>
      <c r="G103" s="1570"/>
      <c r="H103" s="2381"/>
      <c r="I103" s="2381"/>
      <c r="J103" s="2381"/>
      <c r="K103" s="1558"/>
      <c r="L103" s="2381"/>
      <c r="M103" s="2381"/>
      <c r="N103" s="1558"/>
      <c r="O103" s="1613"/>
      <c r="P103" s="1613"/>
      <c r="Q103" s="1571"/>
      <c r="R103" s="1613"/>
      <c r="S103" s="1613"/>
    </row>
    <row r="104" spans="2:19" s="305" customFormat="1" ht="11.25" customHeight="1">
      <c r="B104" s="307" t="s">
        <v>1748</v>
      </c>
      <c r="C104" s="307" t="s">
        <v>292</v>
      </c>
      <c r="H104" s="2622" t="s">
        <v>4620</v>
      </c>
      <c r="I104" s="2623"/>
      <c r="J104" s="2623"/>
      <c r="K104" s="2623"/>
      <c r="L104" s="2623"/>
      <c r="M104" s="2623"/>
      <c r="N104" s="2565"/>
      <c r="O104" s="1559" t="s">
        <v>2005</v>
      </c>
      <c r="P104" s="1559"/>
      <c r="Q104" s="2622" t="s">
        <v>4621</v>
      </c>
      <c r="R104" s="2623"/>
      <c r="S104" s="2565"/>
    </row>
    <row r="105" spans="2:19" s="305" customFormat="1" ht="11.25" customHeight="1">
      <c r="D105" s="348"/>
      <c r="E105" s="310" t="s">
        <v>1031</v>
      </c>
      <c r="F105" s="318"/>
      <c r="H105" s="2622" t="s">
        <v>4622</v>
      </c>
      <c r="I105" s="2623"/>
      <c r="J105" s="2623"/>
      <c r="K105" s="2623"/>
      <c r="L105" s="2623"/>
      <c r="M105" s="2623"/>
      <c r="N105" s="2565"/>
      <c r="O105" s="1559" t="s">
        <v>1760</v>
      </c>
      <c r="Q105" s="2622" t="s">
        <v>4617</v>
      </c>
      <c r="R105" s="2623"/>
      <c r="S105" s="2565"/>
    </row>
    <row r="106" spans="2:19" s="305" customFormat="1" ht="11.25" customHeight="1">
      <c r="D106" s="348"/>
      <c r="E106" s="310" t="s">
        <v>624</v>
      </c>
      <c r="H106" s="2622" t="s">
        <v>1217</v>
      </c>
      <c r="I106" s="2623"/>
      <c r="J106" s="2565"/>
      <c r="K106" s="1561" t="s">
        <v>2722</v>
      </c>
      <c r="L106" s="2622" t="s">
        <v>4623</v>
      </c>
      <c r="M106" s="2623"/>
      <c r="N106" s="2565"/>
      <c r="O106" s="1559" t="s">
        <v>1734</v>
      </c>
      <c r="Q106" s="2624">
        <v>4048929651</v>
      </c>
      <c r="R106" s="2632"/>
      <c r="S106" s="2625"/>
    </row>
    <row r="107" spans="2:19" s="305" customFormat="1" ht="11.25" customHeight="1">
      <c r="D107" s="348"/>
      <c r="E107" s="310" t="s">
        <v>1812</v>
      </c>
      <c r="H107" s="2378" t="s">
        <v>856</v>
      </c>
      <c r="K107" s="1562" t="s">
        <v>2245</v>
      </c>
      <c r="L107" s="2627">
        <v>303285350</v>
      </c>
      <c r="M107" s="2628"/>
      <c r="O107" s="1559" t="s">
        <v>1995</v>
      </c>
      <c r="Q107" s="2624">
        <v>6793620453</v>
      </c>
      <c r="R107" s="2632"/>
      <c r="S107" s="2625"/>
    </row>
    <row r="108" spans="2:19" ht="11.25" customHeight="1">
      <c r="E108" s="310" t="s">
        <v>4315</v>
      </c>
      <c r="F108" s="305"/>
      <c r="G108" s="305"/>
      <c r="H108" s="2624">
        <v>4048988244</v>
      </c>
      <c r="I108" s="2625"/>
      <c r="J108" s="2379"/>
      <c r="K108" s="1571" t="s">
        <v>2000</v>
      </c>
      <c r="L108" s="2470" t="s">
        <v>4624</v>
      </c>
      <c r="M108" s="2471"/>
      <c r="N108" s="2471"/>
      <c r="O108" s="2471"/>
      <c r="P108" s="2471"/>
      <c r="Q108" s="2471"/>
      <c r="R108" s="2471"/>
      <c r="S108" s="2472"/>
    </row>
    <row r="109" spans="2:19" ht="6.6" customHeight="1">
      <c r="E109" s="310"/>
      <c r="F109" s="305"/>
      <c r="G109" s="1570"/>
      <c r="H109" s="2380"/>
      <c r="I109" s="2380"/>
      <c r="J109" s="2380"/>
      <c r="K109" s="1571"/>
      <c r="L109" s="2380"/>
      <c r="M109" s="2380"/>
      <c r="N109" s="1558"/>
      <c r="O109" s="1613"/>
      <c r="P109" s="1613"/>
      <c r="Q109" s="1571"/>
      <c r="R109" s="1613"/>
      <c r="S109" s="1613"/>
    </row>
    <row r="110" spans="2:19" s="305" customFormat="1" ht="11.25" customHeight="1">
      <c r="B110" s="307" t="s">
        <v>1749</v>
      </c>
      <c r="C110" s="307" t="s">
        <v>293</v>
      </c>
      <c r="H110" s="2622" t="s">
        <v>4625</v>
      </c>
      <c r="I110" s="2623"/>
      <c r="J110" s="2623"/>
      <c r="K110" s="2623"/>
      <c r="L110" s="2623"/>
      <c r="M110" s="2623"/>
      <c r="N110" s="2565"/>
      <c r="O110" s="1559" t="s">
        <v>2005</v>
      </c>
      <c r="P110" s="1559"/>
      <c r="Q110" s="2622" t="s">
        <v>4626</v>
      </c>
      <c r="R110" s="2623"/>
      <c r="S110" s="2565"/>
    </row>
    <row r="111" spans="2:19" s="305" customFormat="1" ht="11.25" customHeight="1">
      <c r="D111" s="348"/>
      <c r="E111" s="310" t="s">
        <v>1031</v>
      </c>
      <c r="F111" s="318"/>
      <c r="H111" s="2622" t="s">
        <v>4627</v>
      </c>
      <c r="I111" s="2623"/>
      <c r="J111" s="2623"/>
      <c r="K111" s="2623"/>
      <c r="L111" s="2623"/>
      <c r="M111" s="2623"/>
      <c r="N111" s="2565"/>
      <c r="O111" s="1559" t="s">
        <v>1760</v>
      </c>
      <c r="Q111" s="2622" t="s">
        <v>2490</v>
      </c>
      <c r="R111" s="2623"/>
      <c r="S111" s="2565"/>
    </row>
    <row r="112" spans="2:19" s="305" customFormat="1" ht="11.25" customHeight="1">
      <c r="D112" s="348"/>
      <c r="E112" s="310" t="s">
        <v>624</v>
      </c>
      <c r="H112" s="2622" t="s">
        <v>1332</v>
      </c>
      <c r="I112" s="2623"/>
      <c r="J112" s="2565"/>
      <c r="K112" s="1561" t="s">
        <v>2722</v>
      </c>
      <c r="L112" s="2622" t="s">
        <v>4628</v>
      </c>
      <c r="M112" s="2623"/>
      <c r="N112" s="2565"/>
      <c r="O112" s="1559" t="s">
        <v>1734</v>
      </c>
      <c r="Q112" s="2624">
        <v>4787421208</v>
      </c>
      <c r="R112" s="2632"/>
      <c r="S112" s="2625"/>
    </row>
    <row r="113" spans="1:22" s="305" customFormat="1" ht="11.25" customHeight="1">
      <c r="D113" s="352"/>
      <c r="E113" s="310" t="s">
        <v>1812</v>
      </c>
      <c r="H113" s="2378" t="s">
        <v>856</v>
      </c>
      <c r="K113" s="1562" t="s">
        <v>2245</v>
      </c>
      <c r="L113" s="2627">
        <v>312017398</v>
      </c>
      <c r="M113" s="2628"/>
      <c r="O113" s="1559" t="s">
        <v>1995</v>
      </c>
      <c r="Q113" s="2624">
        <v>4783613120</v>
      </c>
      <c r="R113" s="2632"/>
      <c r="S113" s="2625"/>
    </row>
    <row r="114" spans="1:22" s="305" customFormat="1" ht="11.25" customHeight="1">
      <c r="D114" s="352"/>
      <c r="E114" s="310" t="s">
        <v>4315</v>
      </c>
      <c r="H114" s="2624">
        <v>4787421208</v>
      </c>
      <c r="I114" s="2625"/>
      <c r="J114" s="2379"/>
      <c r="K114" s="1571" t="s">
        <v>2000</v>
      </c>
      <c r="L114" s="2470" t="s">
        <v>4629</v>
      </c>
      <c r="M114" s="2471"/>
      <c r="N114" s="2471"/>
      <c r="O114" s="2471"/>
      <c r="P114" s="2471"/>
      <c r="Q114" s="2471"/>
      <c r="R114" s="2471"/>
      <c r="S114" s="2472"/>
    </row>
    <row r="115" spans="1:22" ht="3" customHeight="1"/>
    <row r="116" spans="1:22" s="305" customFormat="1" ht="12" customHeight="1">
      <c r="A116" s="307" t="s">
        <v>1805</v>
      </c>
      <c r="B116" s="307" t="s">
        <v>2620</v>
      </c>
      <c r="F116" s="307"/>
      <c r="G116" s="1571"/>
      <c r="H116" s="1571"/>
      <c r="I116" s="1571"/>
      <c r="J116" s="1571"/>
      <c r="K116" s="1571"/>
      <c r="L116" s="1571"/>
      <c r="M116" s="1571"/>
      <c r="N116" s="1571"/>
      <c r="O116" s="1571"/>
      <c r="P116" s="1571"/>
      <c r="Q116" s="1561"/>
    </row>
    <row r="117" spans="1:22" s="305" customFormat="1" ht="11.25" customHeight="1">
      <c r="B117" s="307" t="s">
        <v>1999</v>
      </c>
      <c r="C117" s="307" t="s">
        <v>3601</v>
      </c>
      <c r="H117" s="2473" t="s">
        <v>3187</v>
      </c>
      <c r="I117" s="2478"/>
      <c r="J117" s="2474"/>
      <c r="K117" s="1571" t="s">
        <v>2490</v>
      </c>
      <c r="L117" s="2622"/>
      <c r="M117" s="2623"/>
      <c r="N117" s="2565"/>
      <c r="O117" s="310" t="s">
        <v>3602</v>
      </c>
      <c r="Q117" s="2622"/>
      <c r="R117" s="2623"/>
      <c r="S117" s="2565"/>
    </row>
    <row r="118" spans="1:22" s="305" customFormat="1" ht="11.25" customHeight="1">
      <c r="D118" s="348"/>
      <c r="E118" s="310" t="s">
        <v>1031</v>
      </c>
      <c r="F118" s="318"/>
      <c r="H118" s="2622"/>
      <c r="I118" s="2623"/>
      <c r="J118" s="2623"/>
      <c r="K118" s="2623"/>
      <c r="L118" s="2623"/>
      <c r="M118" s="2623"/>
      <c r="N118" s="2565"/>
      <c r="O118" s="310" t="s">
        <v>624</v>
      </c>
      <c r="Q118" s="2622"/>
      <c r="R118" s="2623"/>
      <c r="S118" s="2565"/>
    </row>
    <row r="119" spans="1:22" s="305" customFormat="1" ht="11.25" customHeight="1">
      <c r="D119" s="348"/>
      <c r="E119" s="310" t="s">
        <v>1812</v>
      </c>
      <c r="H119" s="2378"/>
      <c r="I119" s="1562" t="s">
        <v>2245</v>
      </c>
      <c r="J119" s="2635"/>
      <c r="K119" s="2565"/>
      <c r="L119" s="1571" t="s">
        <v>2000</v>
      </c>
      <c r="M119" s="2470"/>
      <c r="N119" s="2471"/>
      <c r="O119" s="2471"/>
      <c r="P119" s="2471"/>
      <c r="Q119" s="2471"/>
      <c r="R119" s="2471"/>
      <c r="S119" s="2472"/>
    </row>
    <row r="120" spans="1:22" ht="12" customHeight="1">
      <c r="B120" s="307" t="s">
        <v>2001</v>
      </c>
      <c r="C120" s="307" t="s">
        <v>2853</v>
      </c>
      <c r="H120" s="1612"/>
      <c r="I120" s="1612"/>
      <c r="J120" s="1612"/>
      <c r="K120" s="1612"/>
      <c r="L120" s="1612"/>
      <c r="M120" s="1612"/>
      <c r="N120" s="1612"/>
      <c r="O120" s="1612"/>
      <c r="P120" s="1612"/>
      <c r="Q120" s="1612"/>
      <c r="R120" s="1612"/>
      <c r="S120" s="1612"/>
    </row>
    <row r="121" spans="1:22" ht="11.25" customHeight="1">
      <c r="A121" s="2636" t="s">
        <v>3911</v>
      </c>
      <c r="B121" s="2636"/>
      <c r="C121" s="2636"/>
      <c r="D121" s="2636"/>
      <c r="E121" s="2637"/>
      <c r="F121" s="2382" t="s">
        <v>2527</v>
      </c>
      <c r="G121" s="2638" t="s">
        <v>3501</v>
      </c>
      <c r="H121" s="2639"/>
      <c r="I121" s="2639"/>
      <c r="J121" s="2639"/>
      <c r="K121" s="2639"/>
      <c r="L121" s="2639"/>
      <c r="M121" s="2639"/>
      <c r="N121" s="2639"/>
      <c r="O121" s="2639"/>
      <c r="P121" s="2639"/>
      <c r="Q121" s="2639"/>
      <c r="R121" s="2639"/>
      <c r="S121" s="2640"/>
    </row>
    <row r="122" spans="1:22" s="305" customFormat="1" ht="31.5" customHeight="1">
      <c r="B122" s="521"/>
      <c r="C122" s="1195" t="s">
        <v>2002</v>
      </c>
      <c r="D122" s="2641" t="s">
        <v>2854</v>
      </c>
      <c r="E122" s="2642"/>
      <c r="F122" s="2383" t="s">
        <v>3013</v>
      </c>
      <c r="G122" s="2643"/>
      <c r="H122" s="2644"/>
      <c r="I122" s="2644"/>
      <c r="J122" s="2644"/>
      <c r="K122" s="2644"/>
      <c r="L122" s="2644"/>
      <c r="M122" s="2644"/>
      <c r="N122" s="2644"/>
      <c r="O122" s="2644"/>
      <c r="P122" s="2644"/>
      <c r="Q122" s="2644"/>
      <c r="R122" s="2644"/>
      <c r="S122" s="2645"/>
      <c r="U122" s="2614" t="s">
        <v>2047</v>
      </c>
      <c r="V122" s="2614"/>
    </row>
    <row r="123" spans="1:22" s="305" customFormat="1" ht="31.5" customHeight="1">
      <c r="B123" s="521"/>
      <c r="C123" s="647" t="s">
        <v>2004</v>
      </c>
      <c r="D123" s="2537" t="s">
        <v>2920</v>
      </c>
      <c r="E123" s="2646"/>
      <c r="F123" s="2384" t="s">
        <v>3013</v>
      </c>
      <c r="G123" s="2647"/>
      <c r="H123" s="2648"/>
      <c r="I123" s="2648"/>
      <c r="J123" s="2648"/>
      <c r="K123" s="2648"/>
      <c r="L123" s="2648"/>
      <c r="M123" s="2648"/>
      <c r="N123" s="2648"/>
      <c r="O123" s="2648"/>
      <c r="P123" s="2648"/>
      <c r="Q123" s="2648"/>
      <c r="R123" s="2648"/>
      <c r="S123" s="2649"/>
      <c r="U123" s="2614"/>
      <c r="V123" s="2614"/>
    </row>
    <row r="124" spans="1:22" s="305" customFormat="1" ht="31.5" customHeight="1">
      <c r="B124" s="521"/>
      <c r="C124" s="647" t="s">
        <v>2551</v>
      </c>
      <c r="D124" s="2537" t="s">
        <v>2896</v>
      </c>
      <c r="E124" s="2646"/>
      <c r="F124" s="2384" t="s">
        <v>3013</v>
      </c>
      <c r="G124" s="2647"/>
      <c r="H124" s="2648"/>
      <c r="I124" s="2648"/>
      <c r="J124" s="2648"/>
      <c r="K124" s="2648"/>
      <c r="L124" s="2648"/>
      <c r="M124" s="2648"/>
      <c r="N124" s="2648"/>
      <c r="O124" s="2648"/>
      <c r="P124" s="2648"/>
      <c r="Q124" s="2648"/>
      <c r="R124" s="2648"/>
      <c r="S124" s="2649"/>
      <c r="U124" s="2614"/>
      <c r="V124" s="2614"/>
    </row>
    <row r="125" spans="1:22" s="305" customFormat="1" ht="31.5" customHeight="1">
      <c r="B125" s="521"/>
      <c r="C125" s="647" t="s">
        <v>1236</v>
      </c>
      <c r="D125" s="2537" t="s">
        <v>2855</v>
      </c>
      <c r="E125" s="2646"/>
      <c r="F125" s="2384" t="s">
        <v>3013</v>
      </c>
      <c r="G125" s="2647"/>
      <c r="H125" s="2648"/>
      <c r="I125" s="2648"/>
      <c r="J125" s="2648"/>
      <c r="K125" s="2648"/>
      <c r="L125" s="2648"/>
      <c r="M125" s="2648"/>
      <c r="N125" s="2648"/>
      <c r="O125" s="2648"/>
      <c r="P125" s="2648"/>
      <c r="Q125" s="2648"/>
      <c r="R125" s="2648"/>
      <c r="S125" s="2649"/>
      <c r="U125" s="2614"/>
      <c r="V125" s="2614"/>
    </row>
    <row r="126" spans="1:22" s="305" customFormat="1" ht="31.5" customHeight="1">
      <c r="B126" s="521"/>
      <c r="C126" s="647" t="s">
        <v>1237</v>
      </c>
      <c r="D126" s="2537" t="s">
        <v>3488</v>
      </c>
      <c r="E126" s="2646"/>
      <c r="F126" s="2384" t="s">
        <v>3013</v>
      </c>
      <c r="G126" s="2647"/>
      <c r="H126" s="2648"/>
      <c r="I126" s="2648"/>
      <c r="J126" s="2648"/>
      <c r="K126" s="2648"/>
      <c r="L126" s="2648"/>
      <c r="M126" s="2648"/>
      <c r="N126" s="2648"/>
      <c r="O126" s="2648"/>
      <c r="P126" s="2648"/>
      <c r="Q126" s="2648"/>
      <c r="R126" s="2648"/>
      <c r="S126" s="2649"/>
      <c r="U126" s="2614"/>
      <c r="V126" s="2614"/>
    </row>
    <row r="127" spans="1:22" s="305" customFormat="1" ht="31.5" customHeight="1">
      <c r="B127" s="521"/>
      <c r="C127" s="647" t="s">
        <v>1896</v>
      </c>
      <c r="D127" s="2537" t="s">
        <v>3489</v>
      </c>
      <c r="E127" s="2646"/>
      <c r="F127" s="2384" t="s">
        <v>3013</v>
      </c>
      <c r="G127" s="2647"/>
      <c r="H127" s="2648"/>
      <c r="I127" s="2648"/>
      <c r="J127" s="2648"/>
      <c r="K127" s="2648"/>
      <c r="L127" s="2648"/>
      <c r="M127" s="2648"/>
      <c r="N127" s="2648"/>
      <c r="O127" s="2648"/>
      <c r="P127" s="2648"/>
      <c r="Q127" s="2648"/>
      <c r="R127" s="2648"/>
      <c r="S127" s="2649"/>
      <c r="U127" s="2614"/>
      <c r="V127" s="2614"/>
    </row>
    <row r="128" spans="1:22" s="305" customFormat="1" ht="31.5" customHeight="1">
      <c r="B128" s="521"/>
      <c r="C128" s="647" t="s">
        <v>508</v>
      </c>
      <c r="D128" s="2537" t="s">
        <v>2856</v>
      </c>
      <c r="E128" s="2646"/>
      <c r="F128" s="2384" t="s">
        <v>3013</v>
      </c>
      <c r="G128" s="2647"/>
      <c r="H128" s="2648"/>
      <c r="I128" s="2648"/>
      <c r="J128" s="2648"/>
      <c r="K128" s="2648"/>
      <c r="L128" s="2648"/>
      <c r="M128" s="2648"/>
      <c r="N128" s="2648"/>
      <c r="O128" s="2648"/>
      <c r="P128" s="2648"/>
      <c r="Q128" s="2648"/>
      <c r="R128" s="2648"/>
      <c r="S128" s="2649"/>
    </row>
    <row r="129" spans="1:22" s="305" customFormat="1" ht="31.5" customHeight="1">
      <c r="B129" s="521"/>
      <c r="C129" s="647" t="s">
        <v>509</v>
      </c>
      <c r="D129" s="2658" t="s">
        <v>3910</v>
      </c>
      <c r="E129" s="2659"/>
      <c r="F129" s="2385" t="s">
        <v>3010</v>
      </c>
      <c r="G129" s="2660" t="s">
        <v>4630</v>
      </c>
      <c r="H129" s="2661"/>
      <c r="I129" s="2661"/>
      <c r="J129" s="2661"/>
      <c r="K129" s="2661"/>
      <c r="L129" s="2661"/>
      <c r="M129" s="2661"/>
      <c r="N129" s="2661"/>
      <c r="O129" s="2661"/>
      <c r="P129" s="2661"/>
      <c r="Q129" s="2661"/>
      <c r="R129" s="2661"/>
      <c r="S129" s="2662"/>
    </row>
    <row r="130" spans="1:22" s="305" customFormat="1" ht="13.15" customHeight="1">
      <c r="A130" s="307" t="s">
        <v>1807</v>
      </c>
      <c r="B130" s="307" t="s">
        <v>2865</v>
      </c>
      <c r="F130" s="307"/>
      <c r="G130" s="1571"/>
      <c r="H130" s="1571"/>
      <c r="I130" s="1571"/>
      <c r="J130" s="1571"/>
      <c r="K130" s="1571"/>
      <c r="L130" s="1571"/>
      <c r="M130" s="1571"/>
      <c r="N130" s="1571"/>
      <c r="O130" s="1571"/>
      <c r="P130" s="1571"/>
      <c r="Q130" s="1561"/>
    </row>
    <row r="131" spans="1:22" s="305" customFormat="1" ht="2.25" customHeight="1">
      <c r="A131" s="307"/>
      <c r="B131" s="307"/>
      <c r="F131" s="307"/>
      <c r="G131" s="1571"/>
      <c r="H131" s="1571"/>
      <c r="I131" s="1571"/>
      <c r="J131" s="1571"/>
      <c r="K131" s="1571"/>
      <c r="L131" s="1571"/>
      <c r="M131" s="1571"/>
      <c r="N131" s="1571"/>
      <c r="O131" s="1571"/>
      <c r="P131" s="1571"/>
      <c r="Q131" s="1561"/>
    </row>
    <row r="132" spans="1:22" ht="13.15" customHeight="1">
      <c r="B132" s="307" t="s">
        <v>757</v>
      </c>
      <c r="C132" s="307" t="s">
        <v>2857</v>
      </c>
    </row>
    <row r="133" spans="1:22" s="305" customFormat="1" ht="13.5" customHeight="1">
      <c r="A133" s="2663" t="s">
        <v>646</v>
      </c>
      <c r="B133" s="2641"/>
      <c r="C133" s="2641"/>
      <c r="D133" s="2641"/>
      <c r="E133" s="2667" t="s">
        <v>3469</v>
      </c>
      <c r="F133" s="2668"/>
      <c r="G133" s="2668"/>
      <c r="H133" s="2668"/>
      <c r="I133" s="2669"/>
      <c r="J133" s="2673" t="s">
        <v>3470</v>
      </c>
      <c r="K133" s="2676" t="s">
        <v>2927</v>
      </c>
      <c r="L133" s="2676" t="s">
        <v>2928</v>
      </c>
      <c r="M133" s="2679" t="s">
        <v>3480</v>
      </c>
      <c r="N133" s="2680"/>
      <c r="O133" s="2680"/>
      <c r="P133" s="2680"/>
      <c r="Q133" s="2680"/>
      <c r="R133" s="2680"/>
      <c r="S133" s="2681"/>
    </row>
    <row r="134" spans="1:22" s="305" customFormat="1" ht="13.5" customHeight="1">
      <c r="A134" s="2664"/>
      <c r="B134" s="2549"/>
      <c r="C134" s="2549"/>
      <c r="D134" s="2549"/>
      <c r="E134" s="2670"/>
      <c r="F134" s="2671"/>
      <c r="G134" s="2671"/>
      <c r="H134" s="2671"/>
      <c r="I134" s="2672"/>
      <c r="J134" s="2674"/>
      <c r="K134" s="2677"/>
      <c r="L134" s="2677"/>
      <c r="M134" s="2682"/>
      <c r="N134" s="2683"/>
      <c r="O134" s="2683"/>
      <c r="P134" s="2683"/>
      <c r="Q134" s="2683"/>
      <c r="R134" s="2683"/>
      <c r="S134" s="2684"/>
    </row>
    <row r="135" spans="1:22" s="305" customFormat="1" ht="13.5" customHeight="1">
      <c r="A135" s="2664"/>
      <c r="B135" s="2549"/>
      <c r="C135" s="2549"/>
      <c r="D135" s="2549"/>
      <c r="E135" s="2670"/>
      <c r="F135" s="2671"/>
      <c r="G135" s="2671"/>
      <c r="H135" s="2671"/>
      <c r="I135" s="2672"/>
      <c r="J135" s="2674"/>
      <c r="K135" s="2677"/>
      <c r="L135" s="2677"/>
      <c r="M135" s="2682"/>
      <c r="N135" s="2683"/>
      <c r="O135" s="2683"/>
      <c r="P135" s="2683"/>
      <c r="Q135" s="2683"/>
      <c r="R135" s="2683"/>
      <c r="S135" s="2684"/>
    </row>
    <row r="136" spans="1:22" s="305" customFormat="1" ht="23.25" customHeight="1">
      <c r="A136" s="2664"/>
      <c r="B136" s="2549"/>
      <c r="C136" s="2549"/>
      <c r="D136" s="2549"/>
      <c r="E136" s="2685" t="s">
        <v>3745</v>
      </c>
      <c r="F136" s="2686"/>
      <c r="G136" s="2686"/>
      <c r="H136" s="2687"/>
      <c r="I136" s="648"/>
      <c r="J136" s="2674"/>
      <c r="K136" s="2677"/>
      <c r="L136" s="2677"/>
      <c r="M136" s="2682"/>
      <c r="N136" s="2683"/>
      <c r="O136" s="2683"/>
      <c r="P136" s="2683"/>
      <c r="Q136" s="2683"/>
      <c r="R136" s="2683"/>
      <c r="S136" s="2684"/>
    </row>
    <row r="137" spans="1:22" s="305" customFormat="1" ht="13.5" customHeight="1">
      <c r="A137" s="2665"/>
      <c r="B137" s="2666"/>
      <c r="C137" s="2666"/>
      <c r="D137" s="2666"/>
      <c r="E137" s="2688"/>
      <c r="F137" s="2689"/>
      <c r="G137" s="2689"/>
      <c r="H137" s="2690"/>
      <c r="I137" s="899" t="s">
        <v>2527</v>
      </c>
      <c r="J137" s="2675"/>
      <c r="K137" s="2678"/>
      <c r="L137" s="2677"/>
      <c r="M137" s="381" t="s">
        <v>2527</v>
      </c>
      <c r="N137" s="2510" t="s">
        <v>2926</v>
      </c>
      <c r="O137" s="2510"/>
      <c r="P137" s="2510"/>
      <c r="Q137" s="2510"/>
      <c r="R137" s="2510"/>
      <c r="S137" s="2691"/>
    </row>
    <row r="138" spans="1:22" s="305" customFormat="1" ht="24" customHeight="1">
      <c r="A138" s="2650" t="s">
        <v>3464</v>
      </c>
      <c r="B138" s="2651"/>
      <c r="C138" s="2651"/>
      <c r="D138" s="2652"/>
      <c r="E138" s="2643"/>
      <c r="F138" s="2644"/>
      <c r="G138" s="2644"/>
      <c r="H138" s="2644"/>
      <c r="I138" s="2386" t="s">
        <v>3013</v>
      </c>
      <c r="J138" s="2383" t="s">
        <v>3013</v>
      </c>
      <c r="K138" s="2387" t="s">
        <v>4604</v>
      </c>
      <c r="L138" s="2388">
        <v>1E-4</v>
      </c>
      <c r="M138" s="2389" t="s">
        <v>3013</v>
      </c>
      <c r="N138" s="2653"/>
      <c r="O138" s="2644"/>
      <c r="P138" s="2644"/>
      <c r="Q138" s="2644"/>
      <c r="R138" s="2644"/>
      <c r="S138" s="2645"/>
    </row>
    <row r="139" spans="1:22" s="305" customFormat="1" ht="24" customHeight="1">
      <c r="A139" s="2654" t="s">
        <v>3465</v>
      </c>
      <c r="B139" s="2655"/>
      <c r="C139" s="2655"/>
      <c r="D139" s="2656"/>
      <c r="E139" s="2647"/>
      <c r="F139" s="2648"/>
      <c r="G139" s="2648"/>
      <c r="H139" s="2648"/>
      <c r="I139" s="2390"/>
      <c r="J139" s="2384"/>
      <c r="K139" s="2391"/>
      <c r="L139" s="2392"/>
      <c r="M139" s="2393"/>
      <c r="N139" s="2657"/>
      <c r="O139" s="2648"/>
      <c r="P139" s="2648"/>
      <c r="Q139" s="2648"/>
      <c r="R139" s="2648"/>
      <c r="S139" s="2649"/>
      <c r="U139" s="2614" t="s">
        <v>2047</v>
      </c>
      <c r="V139" s="2614"/>
    </row>
    <row r="140" spans="1:22" s="305" customFormat="1" ht="24" customHeight="1">
      <c r="A140" s="2654" t="s">
        <v>3466</v>
      </c>
      <c r="B140" s="2655"/>
      <c r="C140" s="2655"/>
      <c r="D140" s="2656"/>
      <c r="E140" s="2647"/>
      <c r="F140" s="2648"/>
      <c r="G140" s="2648"/>
      <c r="H140" s="2648"/>
      <c r="I140" s="2390"/>
      <c r="J140" s="2384"/>
      <c r="K140" s="2391"/>
      <c r="L140" s="2392"/>
      <c r="M140" s="2393"/>
      <c r="N140" s="2657"/>
      <c r="O140" s="2648"/>
      <c r="P140" s="2648"/>
      <c r="Q140" s="2648"/>
      <c r="R140" s="2648"/>
      <c r="S140" s="2649"/>
      <c r="U140" s="2614"/>
      <c r="V140" s="2614"/>
    </row>
    <row r="141" spans="1:22" s="305" customFormat="1" ht="24" customHeight="1">
      <c r="A141" s="2654" t="s">
        <v>3467</v>
      </c>
      <c r="B141" s="2655"/>
      <c r="C141" s="2655"/>
      <c r="D141" s="2656"/>
      <c r="E141" s="2647"/>
      <c r="F141" s="2648"/>
      <c r="G141" s="2648"/>
      <c r="H141" s="2648"/>
      <c r="I141" s="2390" t="s">
        <v>3013</v>
      </c>
      <c r="J141" s="2384" t="s">
        <v>3013</v>
      </c>
      <c r="K141" s="2391" t="s">
        <v>4604</v>
      </c>
      <c r="L141" s="2392">
        <v>0.9899</v>
      </c>
      <c r="M141" s="2393" t="s">
        <v>3013</v>
      </c>
      <c r="N141" s="2657"/>
      <c r="O141" s="2648"/>
      <c r="P141" s="2648"/>
      <c r="Q141" s="2648"/>
      <c r="R141" s="2648"/>
      <c r="S141" s="2649"/>
      <c r="U141" s="2614"/>
      <c r="V141" s="2614"/>
    </row>
    <row r="142" spans="1:22" s="305" customFormat="1" ht="24" customHeight="1">
      <c r="A142" s="2654" t="s">
        <v>3468</v>
      </c>
      <c r="B142" s="2655"/>
      <c r="C142" s="2655"/>
      <c r="D142" s="2656"/>
      <c r="E142" s="2647"/>
      <c r="F142" s="2648"/>
      <c r="G142" s="2648"/>
      <c r="H142" s="2648"/>
      <c r="I142" s="2390" t="s">
        <v>3013</v>
      </c>
      <c r="J142" s="2384" t="s">
        <v>3013</v>
      </c>
      <c r="K142" s="2391" t="s">
        <v>4604</v>
      </c>
      <c r="L142" s="2392">
        <v>0.01</v>
      </c>
      <c r="M142" s="2393" t="s">
        <v>3013</v>
      </c>
      <c r="N142" s="2657"/>
      <c r="O142" s="2648"/>
      <c r="P142" s="2648"/>
      <c r="Q142" s="2648"/>
      <c r="R142" s="2648"/>
      <c r="S142" s="2649"/>
      <c r="U142" s="2614"/>
      <c r="V142" s="2614"/>
    </row>
    <row r="143" spans="1:22" s="305" customFormat="1" ht="24" customHeight="1">
      <c r="A143" s="2654" t="s">
        <v>2913</v>
      </c>
      <c r="B143" s="2655"/>
      <c r="C143" s="2655"/>
      <c r="D143" s="2656"/>
      <c r="E143" s="2647"/>
      <c r="F143" s="2648"/>
      <c r="G143" s="2648"/>
      <c r="H143" s="2648"/>
      <c r="I143" s="2390" t="s">
        <v>3013</v>
      </c>
      <c r="J143" s="2384" t="s">
        <v>3013</v>
      </c>
      <c r="K143" s="2391" t="s">
        <v>2617</v>
      </c>
      <c r="L143" s="2392">
        <v>0</v>
      </c>
      <c r="M143" s="2393" t="s">
        <v>3013</v>
      </c>
      <c r="N143" s="2657"/>
      <c r="O143" s="2648"/>
      <c r="P143" s="2648"/>
      <c r="Q143" s="2648"/>
      <c r="R143" s="2648"/>
      <c r="S143" s="2649"/>
      <c r="U143" s="2614"/>
      <c r="V143" s="2614"/>
    </row>
    <row r="144" spans="1:22" s="305" customFormat="1" ht="24" customHeight="1">
      <c r="A144" s="2654" t="s">
        <v>659</v>
      </c>
      <c r="B144" s="2655"/>
      <c r="C144" s="2655"/>
      <c r="D144" s="2656"/>
      <c r="E144" s="2647"/>
      <c r="F144" s="2648"/>
      <c r="G144" s="2648"/>
      <c r="H144" s="2648"/>
      <c r="I144" s="2390" t="s">
        <v>3013</v>
      </c>
      <c r="J144" s="2384" t="s">
        <v>3013</v>
      </c>
      <c r="K144" s="2391" t="s">
        <v>2617</v>
      </c>
      <c r="L144" s="2392">
        <v>0</v>
      </c>
      <c r="M144" s="2393" t="s">
        <v>3013</v>
      </c>
      <c r="N144" s="2657"/>
      <c r="O144" s="2648"/>
      <c r="P144" s="2648"/>
      <c r="Q144" s="2648"/>
      <c r="R144" s="2648"/>
      <c r="S144" s="2649"/>
      <c r="U144" s="2614"/>
      <c r="V144" s="2614"/>
    </row>
    <row r="145" spans="1:24" s="305" customFormat="1" ht="24" customHeight="1">
      <c r="A145" s="2654" t="s">
        <v>2914</v>
      </c>
      <c r="B145" s="2655"/>
      <c r="C145" s="2655"/>
      <c r="D145" s="2656"/>
      <c r="E145" s="2647"/>
      <c r="F145" s="2648"/>
      <c r="G145" s="2648"/>
      <c r="H145" s="2648"/>
      <c r="I145" s="2390"/>
      <c r="J145" s="2384"/>
      <c r="K145" s="2391"/>
      <c r="L145" s="2392"/>
      <c r="M145" s="2393"/>
      <c r="N145" s="2657"/>
      <c r="O145" s="2648"/>
      <c r="P145" s="2648"/>
      <c r="Q145" s="2648"/>
      <c r="R145" s="2648"/>
      <c r="S145" s="2649"/>
    </row>
    <row r="146" spans="1:24" s="305" customFormat="1" ht="24" customHeight="1">
      <c r="A146" s="2654" t="s">
        <v>2915</v>
      </c>
      <c r="B146" s="2655"/>
      <c r="C146" s="2655"/>
      <c r="D146" s="2656"/>
      <c r="E146" s="2647"/>
      <c r="F146" s="2648"/>
      <c r="G146" s="2648"/>
      <c r="H146" s="2648"/>
      <c r="I146" s="2390"/>
      <c r="J146" s="2384"/>
      <c r="K146" s="2391"/>
      <c r="L146" s="2392"/>
      <c r="M146" s="2393"/>
      <c r="N146" s="2657"/>
      <c r="O146" s="2648"/>
      <c r="P146" s="2648"/>
      <c r="Q146" s="2648"/>
      <c r="R146" s="2648"/>
      <c r="S146" s="2649"/>
    </row>
    <row r="147" spans="1:24" s="305" customFormat="1" ht="24" customHeight="1">
      <c r="A147" s="2654" t="s">
        <v>2917</v>
      </c>
      <c r="B147" s="2655"/>
      <c r="C147" s="2655"/>
      <c r="D147" s="2656"/>
      <c r="E147" s="2647"/>
      <c r="F147" s="2648"/>
      <c r="G147" s="2648"/>
      <c r="H147" s="2648"/>
      <c r="I147" s="2390"/>
      <c r="J147" s="2384"/>
      <c r="K147" s="2391"/>
      <c r="L147" s="2392"/>
      <c r="M147" s="2393"/>
      <c r="N147" s="2657"/>
      <c r="O147" s="2648"/>
      <c r="P147" s="2648"/>
      <c r="Q147" s="2648"/>
      <c r="R147" s="2648"/>
      <c r="S147" s="2649"/>
    </row>
    <row r="148" spans="1:24" s="305" customFormat="1" ht="24" customHeight="1">
      <c r="A148" s="2654" t="s">
        <v>2916</v>
      </c>
      <c r="B148" s="2655"/>
      <c r="C148" s="2655"/>
      <c r="D148" s="2656"/>
      <c r="E148" s="2647"/>
      <c r="F148" s="2648"/>
      <c r="G148" s="2648"/>
      <c r="H148" s="2648"/>
      <c r="I148" s="2390"/>
      <c r="J148" s="2384"/>
      <c r="K148" s="2391"/>
      <c r="L148" s="2392"/>
      <c r="M148" s="2393"/>
      <c r="N148" s="2657"/>
      <c r="O148" s="2648"/>
      <c r="P148" s="2648"/>
      <c r="Q148" s="2648"/>
      <c r="R148" s="2648"/>
      <c r="S148" s="2649"/>
    </row>
    <row r="149" spans="1:24" s="305" customFormat="1" ht="24" customHeight="1">
      <c r="A149" s="2654" t="s">
        <v>1541</v>
      </c>
      <c r="B149" s="2655"/>
      <c r="C149" s="2655"/>
      <c r="D149" s="2656"/>
      <c r="E149" s="2647"/>
      <c r="F149" s="2648"/>
      <c r="G149" s="2648"/>
      <c r="H149" s="2648"/>
      <c r="I149" s="2390" t="s">
        <v>3013</v>
      </c>
      <c r="J149" s="2384" t="s">
        <v>3013</v>
      </c>
      <c r="K149" s="2391" t="s">
        <v>4604</v>
      </c>
      <c r="L149" s="2392">
        <v>0</v>
      </c>
      <c r="M149" s="2393" t="s">
        <v>3013</v>
      </c>
      <c r="N149" s="2657"/>
      <c r="O149" s="2648"/>
      <c r="P149" s="2648"/>
      <c r="Q149" s="2648"/>
      <c r="R149" s="2648"/>
      <c r="S149" s="2649"/>
    </row>
    <row r="150" spans="1:24" s="305" customFormat="1" ht="24" customHeight="1">
      <c r="A150" s="2692" t="s">
        <v>2918</v>
      </c>
      <c r="B150" s="2693"/>
      <c r="C150" s="2693"/>
      <c r="D150" s="2694"/>
      <c r="E150" s="2660"/>
      <c r="F150" s="2661"/>
      <c r="G150" s="2661"/>
      <c r="H150" s="2661"/>
      <c r="I150" s="2394" t="s">
        <v>3013</v>
      </c>
      <c r="J150" s="2385" t="s">
        <v>3013</v>
      </c>
      <c r="K150" s="2395" t="s">
        <v>2617</v>
      </c>
      <c r="L150" s="2396">
        <v>0</v>
      </c>
      <c r="M150" s="2397" t="s">
        <v>3013</v>
      </c>
      <c r="N150" s="2695"/>
      <c r="O150" s="2661"/>
      <c r="P150" s="2661"/>
      <c r="Q150" s="2661"/>
      <c r="R150" s="2661"/>
      <c r="S150" s="2662"/>
    </row>
    <row r="151" spans="1:24" s="1570" customFormat="1" ht="12" customHeight="1">
      <c r="G151" s="316"/>
      <c r="H151" s="316"/>
      <c r="I151" s="316"/>
      <c r="J151" s="1571"/>
      <c r="K151" s="331" t="s">
        <v>544</v>
      </c>
      <c r="L151" s="577">
        <f>SUM(L138:S150)</f>
        <v>1</v>
      </c>
      <c r="M151" s="1571"/>
      <c r="P151" s="314"/>
    </row>
    <row r="152" spans="1:24" ht="11.25" customHeight="1">
      <c r="A152" s="333" t="s">
        <v>535</v>
      </c>
      <c r="B152" s="347"/>
      <c r="C152" s="333" t="s">
        <v>577</v>
      </c>
      <c r="N152" s="333" t="s">
        <v>535</v>
      </c>
      <c r="O152" s="333" t="s">
        <v>80</v>
      </c>
    </row>
    <row r="153" spans="1:24" ht="60" customHeight="1">
      <c r="A153" s="2696" t="s">
        <v>4631</v>
      </c>
      <c r="B153" s="2697"/>
      <c r="C153" s="2697"/>
      <c r="D153" s="2697"/>
      <c r="E153" s="2697"/>
      <c r="F153" s="2697"/>
      <c r="G153" s="2697"/>
      <c r="H153" s="2697"/>
      <c r="I153" s="2697"/>
      <c r="J153" s="2697"/>
      <c r="K153" s="2697"/>
      <c r="L153" s="2697"/>
      <c r="M153" s="2698"/>
      <c r="N153" s="2699"/>
      <c r="O153" s="2700"/>
      <c r="P153" s="2700"/>
      <c r="Q153" s="2700"/>
      <c r="R153" s="2700"/>
      <c r="S153" s="2701"/>
      <c r="T153" s="2433" t="s">
        <v>2710</v>
      </c>
      <c r="U153" s="2433"/>
      <c r="V153" s="2433"/>
      <c r="W153" s="2433"/>
      <c r="X153" s="2433"/>
    </row>
    <row r="154" spans="1:24" s="305" customFormat="1" ht="12" customHeight="1">
      <c r="A154" s="311"/>
      <c r="B154" s="324"/>
      <c r="C154" s="324"/>
      <c r="D154" s="324"/>
      <c r="E154" s="324"/>
      <c r="F154" s="324"/>
      <c r="G154" s="324"/>
      <c r="H154" s="324"/>
      <c r="I154" s="324"/>
      <c r="J154" s="324"/>
      <c r="K154" s="324"/>
      <c r="L154" s="324"/>
      <c r="M154" s="324"/>
      <c r="N154" s="324"/>
      <c r="O154" s="324"/>
      <c r="T154" s="2433"/>
      <c r="U154" s="2433"/>
      <c r="V154" s="2433"/>
      <c r="W154" s="2433"/>
      <c r="X154" s="2433"/>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2398" t="s">
        <v>1812</v>
      </c>
    </row>
    <row r="159" spans="1:24" s="305" customFormat="1" ht="12" customHeight="1">
      <c r="A159" s="348"/>
      <c r="B159" s="324"/>
      <c r="C159" s="324"/>
      <c r="D159" s="324"/>
      <c r="E159" s="324"/>
      <c r="F159" s="324"/>
      <c r="G159" s="324"/>
      <c r="H159" s="324"/>
      <c r="I159" s="324"/>
      <c r="J159" s="324"/>
      <c r="K159" s="324"/>
      <c r="L159" s="324"/>
      <c r="M159" s="324"/>
      <c r="N159" s="324"/>
      <c r="O159" s="324"/>
      <c r="P159" s="2399" t="s">
        <v>846</v>
      </c>
    </row>
    <row r="160" spans="1:24" s="305" customFormat="1" ht="12" customHeight="1">
      <c r="A160" s="348"/>
      <c r="B160" s="324"/>
      <c r="C160" s="324"/>
      <c r="D160" s="324"/>
      <c r="E160" s="324"/>
      <c r="F160" s="324"/>
      <c r="G160" s="324"/>
      <c r="H160" s="324"/>
      <c r="I160" s="324"/>
      <c r="J160" s="324"/>
      <c r="K160" s="324"/>
      <c r="L160" s="324"/>
      <c r="M160" s="324"/>
      <c r="N160" s="324"/>
      <c r="O160" s="324"/>
      <c r="P160" s="2399" t="s">
        <v>847</v>
      </c>
    </row>
    <row r="161" spans="1:16" s="305" customFormat="1" ht="12" customHeight="1">
      <c r="A161" s="348"/>
      <c r="B161" s="324"/>
      <c r="C161" s="324"/>
      <c r="D161" s="324"/>
      <c r="E161" s="324"/>
      <c r="F161" s="324"/>
      <c r="G161" s="324"/>
      <c r="H161" s="324"/>
      <c r="I161" s="324"/>
      <c r="J161" s="324"/>
      <c r="K161" s="324"/>
      <c r="L161" s="324"/>
      <c r="M161" s="324"/>
      <c r="N161" s="324"/>
      <c r="O161" s="324"/>
      <c r="P161" s="2399" t="s">
        <v>848</v>
      </c>
    </row>
    <row r="162" spans="1:16" s="305" customFormat="1" ht="12" customHeight="1">
      <c r="A162" s="501"/>
      <c r="B162" s="324"/>
      <c r="C162" s="324"/>
      <c r="D162" s="324"/>
      <c r="E162" s="324"/>
      <c r="F162" s="324"/>
      <c r="G162" s="324"/>
      <c r="H162" s="324"/>
      <c r="I162" s="324"/>
      <c r="J162" s="324"/>
      <c r="K162" s="324"/>
      <c r="L162" s="324"/>
      <c r="M162" s="324"/>
      <c r="N162" s="324"/>
      <c r="O162" s="324"/>
      <c r="P162" s="2399" t="s">
        <v>849</v>
      </c>
    </row>
    <row r="163" spans="1:16" s="305" customFormat="1" ht="12" customHeight="1">
      <c r="B163" s="324"/>
      <c r="C163" s="324"/>
      <c r="D163" s="324"/>
      <c r="E163" s="324"/>
      <c r="F163" s="324"/>
      <c r="G163" s="324"/>
      <c r="H163" s="324"/>
      <c r="I163" s="324"/>
      <c r="J163" s="324"/>
      <c r="K163" s="324"/>
      <c r="L163" s="324"/>
      <c r="M163" s="324"/>
      <c r="N163" s="324"/>
      <c r="O163" s="324"/>
      <c r="P163" s="2399" t="s">
        <v>850</v>
      </c>
    </row>
    <row r="164" spans="1:16" s="305" customFormat="1" ht="12" customHeight="1">
      <c r="B164" s="324"/>
      <c r="C164" s="324"/>
      <c r="D164" s="324"/>
      <c r="E164" s="324"/>
      <c r="F164" s="324"/>
      <c r="G164" s="324"/>
      <c r="H164" s="324"/>
      <c r="I164" s="324"/>
      <c r="J164" s="324"/>
      <c r="K164" s="324"/>
      <c r="L164" s="324"/>
      <c r="M164" s="324"/>
      <c r="N164" s="324"/>
      <c r="O164" s="324"/>
      <c r="P164" s="2399" t="s">
        <v>851</v>
      </c>
    </row>
    <row r="165" spans="1:16" s="305" customFormat="1" ht="12" customHeight="1">
      <c r="B165" s="324"/>
      <c r="C165" s="324"/>
      <c r="D165" s="324"/>
      <c r="E165" s="324"/>
      <c r="F165" s="324"/>
      <c r="G165" s="324"/>
      <c r="H165" s="324"/>
      <c r="I165" s="324"/>
      <c r="J165" s="324"/>
      <c r="K165" s="324"/>
      <c r="L165" s="324"/>
      <c r="M165" s="324"/>
      <c r="N165" s="324"/>
      <c r="O165" s="324"/>
      <c r="P165" s="2399" t="s">
        <v>852</v>
      </c>
    </row>
    <row r="166" spans="1:16" s="305" customFormat="1" ht="12" customHeight="1">
      <c r="B166" s="324"/>
      <c r="C166" s="324"/>
      <c r="D166" s="324"/>
      <c r="E166" s="324"/>
      <c r="F166" s="324"/>
      <c r="G166" s="324"/>
      <c r="H166" s="324"/>
      <c r="I166" s="324"/>
      <c r="J166" s="324"/>
      <c r="K166" s="324"/>
      <c r="L166" s="324"/>
      <c r="M166" s="324"/>
      <c r="N166" s="324"/>
      <c r="O166" s="324"/>
      <c r="P166" s="2399" t="s">
        <v>853</v>
      </c>
    </row>
    <row r="167" spans="1:16" ht="12" customHeight="1">
      <c r="P167" s="2399" t="s">
        <v>854</v>
      </c>
    </row>
    <row r="168" spans="1:16" ht="12" customHeight="1">
      <c r="A168" s="333"/>
      <c r="P168" s="2399" t="s">
        <v>855</v>
      </c>
    </row>
    <row r="169" spans="1:16" ht="12" customHeight="1">
      <c r="P169" s="2399" t="s">
        <v>856</v>
      </c>
    </row>
    <row r="170" spans="1:16" ht="12" customHeight="1">
      <c r="P170" s="2399" t="s">
        <v>857</v>
      </c>
    </row>
    <row r="171" spans="1:16" ht="12" customHeight="1">
      <c r="P171" s="2399" t="s">
        <v>858</v>
      </c>
    </row>
    <row r="172" spans="1:16" ht="12" customHeight="1">
      <c r="P172" s="2399" t="s">
        <v>859</v>
      </c>
    </row>
    <row r="173" spans="1:16" ht="12" customHeight="1">
      <c r="P173" s="2399" t="s">
        <v>860</v>
      </c>
    </row>
    <row r="174" spans="1:16" ht="12" customHeight="1">
      <c r="P174" s="2399" t="s">
        <v>861</v>
      </c>
    </row>
    <row r="175" spans="1:16" ht="12" customHeight="1">
      <c r="P175" s="2399" t="s">
        <v>862</v>
      </c>
    </row>
    <row r="176" spans="1:16" ht="12" customHeight="1">
      <c r="P176" s="2399" t="s">
        <v>863</v>
      </c>
    </row>
    <row r="177" spans="16:16" ht="12" customHeight="1">
      <c r="P177" s="2399" t="s">
        <v>864</v>
      </c>
    </row>
    <row r="178" spans="16:16" ht="12" customHeight="1">
      <c r="P178" s="2399" t="s">
        <v>865</v>
      </c>
    </row>
    <row r="179" spans="16:16" ht="12" customHeight="1">
      <c r="P179" s="2399" t="s">
        <v>866</v>
      </c>
    </row>
    <row r="180" spans="16:16" ht="12" customHeight="1">
      <c r="P180" s="2399" t="s">
        <v>867</v>
      </c>
    </row>
    <row r="181" spans="16:16" ht="12" customHeight="1">
      <c r="P181" s="2399" t="s">
        <v>868</v>
      </c>
    </row>
    <row r="182" spans="16:16" ht="12" customHeight="1">
      <c r="P182" s="2399" t="s">
        <v>869</v>
      </c>
    </row>
    <row r="183" spans="16:16" ht="12" customHeight="1">
      <c r="P183" s="2399" t="s">
        <v>870</v>
      </c>
    </row>
    <row r="184" spans="16:16" ht="12" customHeight="1">
      <c r="P184" s="2399" t="s">
        <v>1353</v>
      </c>
    </row>
    <row r="185" spans="16:16" ht="12" customHeight="1">
      <c r="P185" s="2399" t="s">
        <v>1354</v>
      </c>
    </row>
    <row r="186" spans="16:16" ht="12" customHeight="1">
      <c r="P186" s="2399" t="s">
        <v>1355</v>
      </c>
    </row>
    <row r="187" spans="16:16" ht="12" customHeight="1">
      <c r="P187" s="2399" t="s">
        <v>1356</v>
      </c>
    </row>
    <row r="188" spans="16:16" ht="12" customHeight="1">
      <c r="P188" s="2399" t="s">
        <v>1357</v>
      </c>
    </row>
    <row r="189" spans="16:16" ht="13.5">
      <c r="P189" s="2399" t="s">
        <v>1358</v>
      </c>
    </row>
    <row r="190" spans="16:16" ht="12" customHeight="1">
      <c r="P190" s="2399" t="s">
        <v>1359</v>
      </c>
    </row>
    <row r="191" spans="16:16" ht="12" customHeight="1">
      <c r="P191" s="2399" t="s">
        <v>1360</v>
      </c>
    </row>
    <row r="192" spans="16:16" ht="12" customHeight="1">
      <c r="P192" s="2399" t="s">
        <v>1361</v>
      </c>
    </row>
    <row r="193" spans="16:16" ht="12" customHeight="1">
      <c r="P193" s="2399" t="s">
        <v>1362</v>
      </c>
    </row>
    <row r="194" spans="16:16" ht="12" customHeight="1">
      <c r="P194" s="2399" t="s">
        <v>1363</v>
      </c>
    </row>
    <row r="195" spans="16:16" ht="12" customHeight="1">
      <c r="P195" s="2399" t="s">
        <v>1364</v>
      </c>
    </row>
    <row r="196" spans="16:16" ht="12" customHeight="1">
      <c r="P196" s="2399" t="s">
        <v>1365</v>
      </c>
    </row>
    <row r="197" spans="16:16" ht="12" customHeight="1">
      <c r="P197" s="2399" t="s">
        <v>1366</v>
      </c>
    </row>
    <row r="198" spans="16:16" ht="12" customHeight="1">
      <c r="P198" s="2399" t="s">
        <v>1367</v>
      </c>
    </row>
    <row r="199" spans="16:16" ht="12" customHeight="1">
      <c r="P199" s="2399" t="s">
        <v>1368</v>
      </c>
    </row>
    <row r="200" spans="16:16" ht="12" customHeight="1">
      <c r="P200" s="2399" t="s">
        <v>1369</v>
      </c>
    </row>
    <row r="201" spans="16:16" ht="12" customHeight="1">
      <c r="P201" s="2399" t="s">
        <v>1370</v>
      </c>
    </row>
    <row r="202" spans="16:16" ht="12" customHeight="1">
      <c r="P202" s="2399" t="s">
        <v>1371</v>
      </c>
    </row>
    <row r="203" spans="16:16" ht="12" customHeight="1">
      <c r="P203" s="2399" t="s">
        <v>1372</v>
      </c>
    </row>
    <row r="204" spans="16:16" ht="12" customHeight="1">
      <c r="P204" s="2399" t="s">
        <v>1373</v>
      </c>
    </row>
    <row r="205" spans="16:16" ht="12" customHeight="1">
      <c r="P205" s="2399" t="s">
        <v>1374</v>
      </c>
    </row>
    <row r="206" spans="16:16" ht="12" customHeight="1">
      <c r="P206" s="2399" t="s">
        <v>1375</v>
      </c>
    </row>
    <row r="207" spans="16:16" ht="12" customHeight="1">
      <c r="P207" s="2399" t="s">
        <v>1376</v>
      </c>
    </row>
    <row r="208" spans="16:16" ht="12" customHeight="1">
      <c r="P208" s="2399" t="s">
        <v>1377</v>
      </c>
    </row>
    <row r="209" spans="16:16" ht="12" customHeight="1">
      <c r="P209" s="2399" t="s">
        <v>1378</v>
      </c>
    </row>
  </sheetData>
  <sheetProtection algorithmName="SHA-512" hashValue="x57NR560i1KI4IdA2t3oagHyjTbBnGREo9XLUCjKReZk5mLcOgMZnTHjMTEnWXDG4MXKYgK/v5j5OiFpcHQpKQ==" saltValue="ObT4HJkD6pRcZM41hmEP0w==" spinCount="100000" sheet="1" objects="1" scenarios="1" formatRows="0"/>
  <mergeCells count="266">
    <mergeCell ref="A146:D146"/>
    <mergeCell ref="E146:H146"/>
    <mergeCell ref="N146:S146"/>
    <mergeCell ref="A147:D147"/>
    <mergeCell ref="E147:H147"/>
    <mergeCell ref="N147:S147"/>
    <mergeCell ref="A144:D144"/>
    <mergeCell ref="E144:H144"/>
    <mergeCell ref="N144:S144"/>
    <mergeCell ref="A145:D145"/>
    <mergeCell ref="E145:H145"/>
    <mergeCell ref="N145:S145"/>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Q35:S35"/>
    <mergeCell ref="L36:M36"/>
    <mergeCell ref="Q36:S36"/>
    <mergeCell ref="L29:M29"/>
    <mergeCell ref="Q29:S29"/>
    <mergeCell ref="H30:I30"/>
    <mergeCell ref="L30:S30"/>
    <mergeCell ref="H33:N33"/>
    <mergeCell ref="Q33:S33"/>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6" zoomScaleNormal="100" workbookViewId="0">
      <selection sqref="A1:XFD1048576"/>
    </sheetView>
  </sheetViews>
  <sheetFormatPr defaultColWidth="9.140625" defaultRowHeight="13.5"/>
  <cols>
    <col min="1" max="1" width="4.28515625" style="354" customWidth="1"/>
    <col min="2" max="17" width="8.140625" style="354" customWidth="1"/>
    <col min="18" max="18" width="3.28515625" style="354" customWidth="1"/>
    <col min="19" max="19" width="13.5703125" style="354" customWidth="1"/>
    <col min="20" max="20" width="98.7109375" style="354" customWidth="1"/>
    <col min="21" max="16384" width="9.140625" style="354"/>
  </cols>
  <sheetData>
    <row r="1" spans="1:20" s="278" customFormat="1" ht="13.9" customHeight="1">
      <c r="A1" s="2629" t="str">
        <f>CONCATENATE("PART THREE - SOURCES OF FUNDS","  -  ",'Part I-Project Information'!$O$6," ",'Part I-Project Information'!$F$34,", ",'Part I-Project Information'!$F$38,", ",'Part I-Project Information'!$J$39," County")</f>
        <v>PART THREE - SOURCES OF FUNDS  -  2018-013 Tindall Fields III, Macon, Bibb County</v>
      </c>
      <c r="B1" s="2630"/>
      <c r="C1" s="2630"/>
      <c r="D1" s="2630"/>
      <c r="E1" s="2630"/>
      <c r="F1" s="2630"/>
      <c r="G1" s="2630"/>
      <c r="H1" s="2630"/>
      <c r="I1" s="2630"/>
      <c r="J1" s="2630"/>
      <c r="K1" s="2630"/>
      <c r="L1" s="2630"/>
      <c r="M1" s="2630"/>
      <c r="N1" s="2630"/>
      <c r="O1" s="2630"/>
      <c r="P1" s="2630"/>
      <c r="Q1" s="2631"/>
      <c r="S1" s="2709" t="str">
        <f>$A$1</f>
        <v>PART THREE - SOURCES OF FUNDS  -  2018-013 Tindall Fields III, Macon, Bibb County</v>
      </c>
      <c r="T1" s="2709"/>
    </row>
    <row r="2" spans="1:20" ht="17.45" customHeight="1">
      <c r="A2" s="324"/>
      <c r="B2" s="324"/>
      <c r="C2" s="324"/>
      <c r="D2" s="324"/>
      <c r="E2" s="324"/>
      <c r="F2" s="324"/>
      <c r="G2" s="1434"/>
      <c r="H2" s="1434"/>
      <c r="I2" s="1434"/>
      <c r="J2" s="1434"/>
      <c r="K2" s="1434"/>
      <c r="L2" s="1434"/>
      <c r="M2" s="324"/>
      <c r="N2" s="324"/>
      <c r="O2" s="324"/>
      <c r="P2" s="324"/>
      <c r="Q2" s="324"/>
    </row>
    <row r="3" spans="1:20" s="278" customFormat="1" ht="13.15" customHeight="1">
      <c r="A3" s="307" t="s">
        <v>622</v>
      </c>
      <c r="B3" s="327" t="s">
        <v>2507</v>
      </c>
      <c r="C3" s="305"/>
      <c r="D3" s="1570"/>
      <c r="E3" s="1570"/>
      <c r="F3" s="1570"/>
      <c r="G3" s="1570"/>
      <c r="J3" s="1570"/>
      <c r="P3" s="1555" t="s">
        <v>4551</v>
      </c>
      <c r="S3" s="355" t="str">
        <f>B3</f>
        <v>GOVERNMENT FUNDING SOURCES  (check all that apply)</v>
      </c>
    </row>
    <row r="4" spans="1:20" s="278" customFormat="1" ht="15.75" customHeight="1">
      <c r="A4" s="333"/>
      <c r="B4" s="501"/>
      <c r="C4" s="327"/>
      <c r="D4" s="1570"/>
      <c r="E4" s="1570"/>
      <c r="F4" s="1570"/>
      <c r="G4" s="1570"/>
      <c r="S4" s="2710" t="s">
        <v>2700</v>
      </c>
      <c r="T4" s="2710"/>
    </row>
    <row r="5" spans="1:20" s="278" customFormat="1" ht="16.5" customHeight="1">
      <c r="A5" s="501"/>
      <c r="B5" s="2359" t="s">
        <v>3010</v>
      </c>
      <c r="C5" s="1559" t="s">
        <v>2426</v>
      </c>
      <c r="D5" s="305"/>
      <c r="H5" s="2359" t="s">
        <v>3013</v>
      </c>
      <c r="I5" s="1559" t="s">
        <v>1549</v>
      </c>
      <c r="L5" s="2359" t="s">
        <v>3013</v>
      </c>
      <c r="M5" s="305" t="s">
        <v>3918</v>
      </c>
      <c r="S5" s="2711"/>
      <c r="T5" s="2712"/>
    </row>
    <row r="6" spans="1:20" s="278" customFormat="1" ht="16.5" customHeight="1">
      <c r="A6" s="501"/>
      <c r="B6" s="2360" t="s">
        <v>3013</v>
      </c>
      <c r="C6" s="1559" t="s">
        <v>555</v>
      </c>
      <c r="D6" s="305"/>
      <c r="H6" s="2360" t="s">
        <v>3013</v>
      </c>
      <c r="I6" s="1559" t="s">
        <v>554</v>
      </c>
      <c r="L6" s="2360" t="s">
        <v>3013</v>
      </c>
      <c r="M6" s="1559" t="s">
        <v>2618</v>
      </c>
      <c r="S6" s="2713"/>
      <c r="T6" s="2714"/>
    </row>
    <row r="7" spans="1:20" s="278" customFormat="1" ht="16.5" customHeight="1">
      <c r="A7" s="305"/>
      <c r="B7" s="2360" t="s">
        <v>3013</v>
      </c>
      <c r="C7" s="1559" t="s">
        <v>3915</v>
      </c>
      <c r="F7" s="2717"/>
      <c r="G7" s="2718"/>
      <c r="H7" s="2360" t="s">
        <v>3013</v>
      </c>
      <c r="I7" s="1559" t="s">
        <v>3707</v>
      </c>
      <c r="L7" s="2360" t="s">
        <v>3013</v>
      </c>
      <c r="M7" s="1559" t="s">
        <v>2619</v>
      </c>
      <c r="S7" s="2713"/>
      <c r="T7" s="2714"/>
    </row>
    <row r="8" spans="1:20" s="278" customFormat="1" ht="16.5" customHeight="1">
      <c r="A8" s="501"/>
      <c r="B8" s="2360" t="s">
        <v>3013</v>
      </c>
      <c r="C8" s="1559" t="s">
        <v>1816</v>
      </c>
      <c r="D8" s="305"/>
      <c r="H8" s="2360" t="s">
        <v>3013</v>
      </c>
      <c r="I8" s="305" t="s">
        <v>2627</v>
      </c>
      <c r="L8" s="2360" t="s">
        <v>3013</v>
      </c>
      <c r="M8" s="310" t="s">
        <v>3712</v>
      </c>
      <c r="S8" s="2715"/>
      <c r="T8" s="2716"/>
    </row>
    <row r="9" spans="1:20" s="278" customFormat="1" ht="16.5" customHeight="1">
      <c r="A9" s="501"/>
      <c r="B9" s="2360" t="s">
        <v>3013</v>
      </c>
      <c r="C9" s="1559" t="s">
        <v>556</v>
      </c>
      <c r="H9" s="2360" t="s">
        <v>3013</v>
      </c>
      <c r="I9" s="305" t="s">
        <v>2625</v>
      </c>
      <c r="L9" s="2360" t="s">
        <v>3013</v>
      </c>
      <c r="M9" s="310" t="s">
        <v>2626</v>
      </c>
      <c r="S9" s="2711"/>
      <c r="T9" s="2712"/>
    </row>
    <row r="10" spans="1:20" s="278" customFormat="1" ht="16.5" customHeight="1">
      <c r="A10" s="501"/>
      <c r="B10" s="2360" t="s">
        <v>3013</v>
      </c>
      <c r="C10" s="310" t="s">
        <v>3916</v>
      </c>
      <c r="G10" s="649"/>
      <c r="H10" s="2360" t="s">
        <v>3013</v>
      </c>
      <c r="I10" s="305" t="s">
        <v>3746</v>
      </c>
      <c r="J10" s="1035"/>
      <c r="K10" s="1035"/>
      <c r="L10" s="2360" t="s">
        <v>3010</v>
      </c>
      <c r="M10" s="310" t="s">
        <v>3748</v>
      </c>
      <c r="O10" s="2702" t="s">
        <v>4577</v>
      </c>
      <c r="P10" s="2703"/>
      <c r="Q10" s="2704"/>
      <c r="S10" s="2713"/>
      <c r="T10" s="2714"/>
    </row>
    <row r="11" spans="1:20" s="278" customFormat="1" ht="16.5" customHeight="1">
      <c r="A11" s="501"/>
      <c r="B11" s="2360" t="s">
        <v>3013</v>
      </c>
      <c r="C11" s="1559" t="s">
        <v>3749</v>
      </c>
      <c r="D11" s="305"/>
      <c r="E11" s="2719"/>
      <c r="F11" s="2720"/>
      <c r="H11" s="2360" t="s">
        <v>3013</v>
      </c>
      <c r="I11" s="305" t="s">
        <v>3751</v>
      </c>
      <c r="L11" s="2361" t="s">
        <v>3013</v>
      </c>
      <c r="M11" s="305" t="s">
        <v>3646</v>
      </c>
      <c r="S11" s="2713"/>
      <c r="T11" s="2714"/>
    </row>
    <row r="12" spans="1:20" s="278" customFormat="1" ht="16.5" customHeight="1">
      <c r="A12" s="501"/>
      <c r="B12" s="2361" t="s">
        <v>3013</v>
      </c>
      <c r="C12" s="1559" t="s">
        <v>3750</v>
      </c>
      <c r="E12" s="2721"/>
      <c r="F12" s="2722"/>
      <c r="H12" s="2360" t="s">
        <v>3013</v>
      </c>
      <c r="I12" s="521" t="s">
        <v>2814</v>
      </c>
      <c r="J12" s="521"/>
      <c r="K12" s="521"/>
      <c r="L12" s="2362" t="s">
        <v>3010</v>
      </c>
      <c r="M12" s="2723" t="s">
        <v>4578</v>
      </c>
      <c r="N12" s="2556"/>
      <c r="O12" s="2556"/>
      <c r="P12" s="2556"/>
      <c r="Q12" s="2580"/>
      <c r="S12" s="2715"/>
      <c r="T12" s="2716"/>
    </row>
    <row r="13" spans="1:20" s="278" customFormat="1" ht="16.5" customHeight="1">
      <c r="A13" s="501"/>
      <c r="C13" s="278" t="s">
        <v>3747</v>
      </c>
      <c r="E13" s="2702" t="s">
        <v>3471</v>
      </c>
      <c r="F13" s="2703"/>
      <c r="G13" s="2704"/>
      <c r="H13" s="2361" t="s">
        <v>3013</v>
      </c>
      <c r="I13" s="310" t="s">
        <v>3917</v>
      </c>
      <c r="J13" s="521"/>
      <c r="K13" s="521"/>
      <c r="M13" s="2705" t="s">
        <v>2167</v>
      </c>
      <c r="N13" s="2706"/>
      <c r="O13" s="2706"/>
      <c r="P13" s="2706"/>
      <c r="Q13" s="2707"/>
    </row>
    <row r="14" spans="1:20" s="278" customFormat="1" ht="16.899999999999999" customHeight="1">
      <c r="A14" s="501"/>
      <c r="B14" s="278" t="s">
        <v>3713</v>
      </c>
      <c r="C14" s="305"/>
      <c r="D14" s="305"/>
      <c r="E14" s="305"/>
      <c r="F14" s="305"/>
      <c r="G14" s="305"/>
      <c r="H14" s="305"/>
      <c r="I14" s="305"/>
      <c r="J14" s="305"/>
      <c r="K14" s="305"/>
      <c r="L14" s="305"/>
      <c r="M14" s="329"/>
      <c r="N14" s="305"/>
      <c r="O14" s="305"/>
      <c r="P14" s="305"/>
      <c r="Q14" s="305"/>
    </row>
    <row r="15" spans="1:20" s="278" customFormat="1" ht="17.45" customHeight="1">
      <c r="A15" s="501"/>
      <c r="L15" s="305"/>
      <c r="M15" s="329"/>
      <c r="N15" s="305"/>
      <c r="O15" s="305"/>
      <c r="P15" s="305"/>
      <c r="Q15" s="305"/>
    </row>
    <row r="16" spans="1:20" s="355" customFormat="1" ht="15" customHeight="1">
      <c r="A16" s="307" t="s">
        <v>748</v>
      </c>
      <c r="B16" s="277" t="s">
        <v>2361</v>
      </c>
      <c r="C16" s="305"/>
      <c r="D16" s="1570"/>
      <c r="E16" s="305"/>
      <c r="F16" s="305"/>
      <c r="G16" s="305"/>
      <c r="H16" s="278"/>
      <c r="L16" s="305"/>
      <c r="M16" s="1570"/>
      <c r="N16" s="2590"/>
      <c r="O16" s="2590"/>
      <c r="P16" s="305"/>
      <c r="Q16" s="305"/>
      <c r="S16" s="355" t="str">
        <f>B16</f>
        <v>CONSTRUCTION FINANCING</v>
      </c>
    </row>
    <row r="17" spans="1:20" s="355" customFormat="1" ht="13.9" customHeight="1">
      <c r="A17" s="307"/>
      <c r="B17" s="277"/>
      <c r="C17" s="305"/>
      <c r="K17" s="305"/>
      <c r="L17" s="305"/>
      <c r="M17" s="1570"/>
      <c r="N17" s="1561"/>
      <c r="O17" s="1561"/>
      <c r="P17" s="305"/>
      <c r="Q17" s="305"/>
    </row>
    <row r="18" spans="1:20" s="278" customFormat="1" ht="16.899999999999999" customHeight="1">
      <c r="A18" s="305"/>
      <c r="B18" s="1559" t="s">
        <v>1885</v>
      </c>
      <c r="C18" s="305"/>
      <c r="D18" s="305"/>
      <c r="E18" s="305"/>
      <c r="F18" s="305"/>
      <c r="G18" s="305"/>
      <c r="H18" s="2708" t="s">
        <v>1309</v>
      </c>
      <c r="I18" s="2708"/>
      <c r="J18" s="2708"/>
      <c r="K18" s="2708"/>
      <c r="L18" s="2511" t="s">
        <v>2006</v>
      </c>
      <c r="M18" s="2511"/>
      <c r="N18" s="2511" t="s">
        <v>1519</v>
      </c>
      <c r="O18" s="2511"/>
      <c r="P18" s="2511" t="s">
        <v>1643</v>
      </c>
      <c r="Q18" s="2511"/>
      <c r="S18" s="2710" t="s">
        <v>2700</v>
      </c>
      <c r="T18" s="2710"/>
    </row>
    <row r="19" spans="1:20" s="278" customFormat="1" ht="24.6" customHeight="1">
      <c r="A19" s="305"/>
      <c r="B19" s="2739" t="s">
        <v>1603</v>
      </c>
      <c r="C19" s="2740"/>
      <c r="D19" s="2740"/>
      <c r="E19" s="1568"/>
      <c r="F19" s="1568"/>
      <c r="G19" s="1568"/>
      <c r="H19" s="2741" t="s">
        <v>2167</v>
      </c>
      <c r="I19" s="2742"/>
      <c r="J19" s="2742"/>
      <c r="K19" s="2743"/>
      <c r="L19" s="2744">
        <v>1400000</v>
      </c>
      <c r="M19" s="2745"/>
      <c r="N19" s="2746">
        <v>0.02</v>
      </c>
      <c r="O19" s="2747"/>
      <c r="P19" s="2748">
        <v>24</v>
      </c>
      <c r="Q19" s="2749"/>
      <c r="S19" s="2711"/>
      <c r="T19" s="2712"/>
    </row>
    <row r="20" spans="1:20" s="278" customFormat="1" ht="16.5" customHeight="1">
      <c r="A20" s="305"/>
      <c r="B20" s="2750" t="s">
        <v>1604</v>
      </c>
      <c r="C20" s="2751"/>
      <c r="D20" s="2751"/>
      <c r="E20" s="1570"/>
      <c r="F20" s="1570"/>
      <c r="G20" s="1570"/>
      <c r="H20" s="2752" t="s">
        <v>4579</v>
      </c>
      <c r="I20" s="2753"/>
      <c r="J20" s="2753"/>
      <c r="K20" s="2754"/>
      <c r="L20" s="2755">
        <v>1500000</v>
      </c>
      <c r="M20" s="2756"/>
      <c r="N20" s="2724">
        <v>3.8399999999999997E-2</v>
      </c>
      <c r="O20" s="2725"/>
      <c r="P20" s="2726">
        <v>24</v>
      </c>
      <c r="Q20" s="2727"/>
      <c r="S20" s="2713"/>
      <c r="T20" s="2714"/>
    </row>
    <row r="21" spans="1:20" s="278" customFormat="1" ht="16.5" customHeight="1">
      <c r="A21" s="305"/>
      <c r="B21" s="2728" t="s">
        <v>1605</v>
      </c>
      <c r="C21" s="2729"/>
      <c r="D21" s="2729"/>
      <c r="E21" s="1567"/>
      <c r="F21" s="1567"/>
      <c r="G21" s="1567"/>
      <c r="H21" s="2730"/>
      <c r="I21" s="2731"/>
      <c r="J21" s="2731"/>
      <c r="K21" s="2732"/>
      <c r="L21" s="2733"/>
      <c r="M21" s="2734"/>
      <c r="N21" s="2735"/>
      <c r="O21" s="2736"/>
      <c r="P21" s="2737"/>
      <c r="Q21" s="2738"/>
      <c r="S21" s="2713"/>
      <c r="T21" s="2714"/>
    </row>
    <row r="22" spans="1:20" s="278" customFormat="1" ht="16.5" customHeight="1">
      <c r="A22" s="305"/>
      <c r="B22" s="2739" t="s">
        <v>2231</v>
      </c>
      <c r="C22" s="2740"/>
      <c r="D22" s="2740"/>
      <c r="E22" s="1570"/>
      <c r="F22" s="1570"/>
      <c r="G22" s="1570"/>
      <c r="H22" s="2757"/>
      <c r="I22" s="2758"/>
      <c r="J22" s="2758"/>
      <c r="K22" s="2759"/>
      <c r="L22" s="2760"/>
      <c r="M22" s="2761"/>
      <c r="N22" s="2762"/>
      <c r="O22" s="2763"/>
      <c r="P22" s="2764"/>
      <c r="Q22" s="2764"/>
      <c r="S22" s="2713"/>
      <c r="T22" s="2714"/>
    </row>
    <row r="23" spans="1:20" s="278" customFormat="1" ht="16.5" customHeight="1">
      <c r="A23" s="305"/>
      <c r="B23" s="2750" t="s">
        <v>809</v>
      </c>
      <c r="C23" s="2751"/>
      <c r="D23" s="2751"/>
      <c r="E23" s="1570"/>
      <c r="H23" s="2752"/>
      <c r="I23" s="2753"/>
      <c r="J23" s="2753"/>
      <c r="K23" s="2754"/>
      <c r="L23" s="2755"/>
      <c r="M23" s="2756"/>
      <c r="N23" s="2762"/>
      <c r="O23" s="2763"/>
      <c r="P23" s="2764"/>
      <c r="Q23" s="2764"/>
      <c r="S23" s="2713"/>
      <c r="T23" s="2714"/>
    </row>
    <row r="24" spans="1:20" s="278" customFormat="1" ht="16.5" customHeight="1">
      <c r="A24" s="305"/>
      <c r="B24" s="2750" t="s">
        <v>647</v>
      </c>
      <c r="C24" s="2751"/>
      <c r="D24" s="2751"/>
      <c r="E24" s="1570"/>
      <c r="H24" s="2752"/>
      <c r="I24" s="2753"/>
      <c r="J24" s="2753"/>
      <c r="K24" s="2754"/>
      <c r="L24" s="2755"/>
      <c r="M24" s="2756"/>
      <c r="N24" s="2762"/>
      <c r="O24" s="2763"/>
      <c r="P24" s="2764"/>
      <c r="Q24" s="2764"/>
      <c r="S24" s="2713"/>
      <c r="T24" s="2714"/>
    </row>
    <row r="25" spans="1:20" s="278" customFormat="1" ht="16.5" customHeight="1">
      <c r="A25" s="305"/>
      <c r="B25" s="2750" t="s">
        <v>810</v>
      </c>
      <c r="C25" s="2751"/>
      <c r="D25" s="2751"/>
      <c r="E25" s="1570"/>
      <c r="H25" s="2752" t="s">
        <v>4579</v>
      </c>
      <c r="I25" s="2753"/>
      <c r="J25" s="2753"/>
      <c r="K25" s="2754"/>
      <c r="L25" s="2755">
        <v>6129364</v>
      </c>
      <c r="M25" s="2756"/>
      <c r="N25" s="305"/>
      <c r="O25" s="305"/>
      <c r="P25" s="305"/>
      <c r="Q25" s="305"/>
      <c r="S25" s="2715"/>
      <c r="T25" s="2716"/>
    </row>
    <row r="26" spans="1:20" s="278" customFormat="1" ht="16.5" customHeight="1">
      <c r="A26" s="305"/>
      <c r="B26" s="2750" t="s">
        <v>811</v>
      </c>
      <c r="C26" s="2751"/>
      <c r="D26" s="2751"/>
      <c r="E26" s="1570"/>
      <c r="H26" s="2752" t="s">
        <v>4579</v>
      </c>
      <c r="I26" s="2753"/>
      <c r="J26" s="2753"/>
      <c r="K26" s="2754"/>
      <c r="L26" s="2755">
        <v>3966850</v>
      </c>
      <c r="M26" s="2756"/>
      <c r="N26" s="305"/>
      <c r="Q26" s="305"/>
      <c r="S26" s="2711"/>
      <c r="T26" s="2712"/>
    </row>
    <row r="27" spans="1:20" s="278" customFormat="1" ht="16.5" customHeight="1">
      <c r="A27" s="305"/>
      <c r="B27" s="1569" t="s">
        <v>244</v>
      </c>
      <c r="C27" s="1570"/>
      <c r="D27" s="2765"/>
      <c r="E27" s="2765"/>
      <c r="F27" s="2765"/>
      <c r="G27" s="2765"/>
      <c r="H27" s="2752"/>
      <c r="I27" s="2753"/>
      <c r="J27" s="2753"/>
      <c r="K27" s="2754"/>
      <c r="L27" s="2755"/>
      <c r="M27" s="2756"/>
      <c r="N27" s="305"/>
      <c r="Q27" s="305"/>
      <c r="S27" s="2713"/>
      <c r="T27" s="2714"/>
    </row>
    <row r="28" spans="1:20" s="278" customFormat="1" ht="16.5" customHeight="1">
      <c r="A28" s="305"/>
      <c r="B28" s="1569" t="s">
        <v>244</v>
      </c>
      <c r="C28" s="1570"/>
      <c r="D28" s="2766"/>
      <c r="E28" s="2766"/>
      <c r="F28" s="2766"/>
      <c r="G28" s="2766"/>
      <c r="H28" s="2752"/>
      <c r="I28" s="2753"/>
      <c r="J28" s="2753"/>
      <c r="K28" s="2754"/>
      <c r="L28" s="2755"/>
      <c r="M28" s="2756"/>
      <c r="N28" s="305"/>
      <c r="S28" s="2713"/>
      <c r="T28" s="2714"/>
    </row>
    <row r="29" spans="1:20" s="278" customFormat="1" ht="16.5" customHeight="1">
      <c r="A29" s="305"/>
      <c r="B29" s="1566" t="s">
        <v>244</v>
      </c>
      <c r="C29" s="1567"/>
      <c r="D29" s="2767"/>
      <c r="E29" s="2767"/>
      <c r="F29" s="2767"/>
      <c r="G29" s="2767"/>
      <c r="H29" s="2730"/>
      <c r="I29" s="2731"/>
      <c r="J29" s="2731"/>
      <c r="K29" s="2732"/>
      <c r="L29" s="2733"/>
      <c r="M29" s="2734"/>
      <c r="N29" s="305"/>
      <c r="S29" s="2713"/>
      <c r="T29" s="2714"/>
    </row>
    <row r="30" spans="1:20" s="278" customFormat="1" ht="16.5" customHeight="1">
      <c r="A30" s="305"/>
      <c r="B30" s="277" t="s">
        <v>1310</v>
      </c>
      <c r="C30" s="305"/>
      <c r="D30" s="305"/>
      <c r="E30" s="305"/>
      <c r="F30" s="305"/>
      <c r="G30" s="305"/>
      <c r="H30" s="305"/>
      <c r="I30" s="305"/>
      <c r="L30" s="2768">
        <f>SUM(L19:L29)</f>
        <v>12996214</v>
      </c>
      <c r="M30" s="2769"/>
      <c r="N30" s="324"/>
      <c r="S30" s="2713"/>
      <c r="T30" s="2714"/>
    </row>
    <row r="31" spans="1:20" s="278" customFormat="1" ht="16.5" customHeight="1">
      <c r="A31" s="305"/>
      <c r="B31" s="1559" t="s">
        <v>1311</v>
      </c>
      <c r="C31" s="305"/>
      <c r="D31" s="305"/>
      <c r="E31" s="305"/>
      <c r="F31" s="305"/>
      <c r="G31" s="305"/>
      <c r="H31" s="305"/>
      <c r="I31" s="305"/>
      <c r="L31" s="277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12848244</v>
      </c>
      <c r="M31" s="2771"/>
      <c r="N31" s="900"/>
      <c r="S31" s="2713"/>
      <c r="T31" s="2714"/>
    </row>
    <row r="32" spans="1:20" s="278" customFormat="1" ht="16.5" customHeight="1">
      <c r="A32" s="305"/>
      <c r="B32" s="310" t="s">
        <v>2173</v>
      </c>
      <c r="C32" s="305"/>
      <c r="D32" s="305"/>
      <c r="E32" s="305"/>
      <c r="F32" s="305"/>
      <c r="G32" s="305"/>
      <c r="H32" s="305"/>
      <c r="I32" s="305"/>
      <c r="L32" s="2772">
        <f>L30-L31</f>
        <v>147970</v>
      </c>
      <c r="M32" s="2773"/>
      <c r="N32" s="900"/>
      <c r="S32" s="2715"/>
      <c r="T32" s="2716"/>
    </row>
    <row r="33" spans="1:20" ht="9.6" customHeight="1">
      <c r="A33" s="333"/>
      <c r="B33" s="277"/>
      <c r="C33" s="324"/>
      <c r="D33" s="324"/>
      <c r="E33" s="324"/>
      <c r="F33" s="324"/>
      <c r="G33" s="324"/>
      <c r="H33" s="324"/>
      <c r="I33" s="324"/>
      <c r="J33" s="324"/>
      <c r="K33" s="324"/>
      <c r="L33" s="324"/>
      <c r="M33" s="1571"/>
      <c r="N33" s="1571"/>
    </row>
    <row r="34" spans="1:20" ht="9.6" customHeight="1">
      <c r="A34" s="307" t="s">
        <v>750</v>
      </c>
      <c r="B34" s="277" t="s">
        <v>808</v>
      </c>
      <c r="C34" s="324"/>
      <c r="D34" s="324"/>
      <c r="E34" s="324"/>
      <c r="F34" s="324"/>
      <c r="G34" s="324"/>
      <c r="H34" s="324"/>
      <c r="I34" s="324"/>
      <c r="J34" s="324"/>
      <c r="K34" s="324"/>
      <c r="L34" s="324"/>
      <c r="M34" s="1571"/>
      <c r="N34" s="1571"/>
      <c r="O34" s="324"/>
      <c r="S34" s="355" t="str">
        <f>B34</f>
        <v>PERMANENT FINANCING</v>
      </c>
    </row>
    <row r="35" spans="1:20" s="278" customFormat="1" ht="13.15" customHeight="1">
      <c r="A35" s="305"/>
      <c r="B35" s="305"/>
      <c r="C35" s="305"/>
      <c r="D35" s="305"/>
      <c r="E35" s="305"/>
      <c r="F35" s="1571"/>
      <c r="G35" s="1571"/>
      <c r="H35" s="2764"/>
      <c r="I35" s="2764"/>
      <c r="K35" s="381" t="s">
        <v>2115</v>
      </c>
      <c r="L35" s="1571" t="s">
        <v>1307</v>
      </c>
      <c r="M35" s="1571" t="s">
        <v>1312</v>
      </c>
      <c r="N35" s="2783" t="s">
        <v>35</v>
      </c>
      <c r="O35" s="2783"/>
      <c r="P35" s="1571"/>
      <c r="Q35" s="307"/>
      <c r="S35" s="355"/>
    </row>
    <row r="36" spans="1:20" s="278" customFormat="1" ht="13.15" customHeight="1">
      <c r="A36" s="305"/>
      <c r="B36" s="1564" t="s">
        <v>1885</v>
      </c>
      <c r="C36" s="1567"/>
      <c r="D36" s="1567"/>
      <c r="E36" s="2522" t="s">
        <v>1309</v>
      </c>
      <c r="F36" s="2522"/>
      <c r="G36" s="2522"/>
      <c r="H36" s="2522"/>
      <c r="I36" s="2511" t="s">
        <v>493</v>
      </c>
      <c r="J36" s="2511"/>
      <c r="K36" s="1558" t="s">
        <v>1819</v>
      </c>
      <c r="L36" s="1558" t="s">
        <v>2230</v>
      </c>
      <c r="M36" s="1558" t="s">
        <v>2230</v>
      </c>
      <c r="N36" s="2784"/>
      <c r="O36" s="2784"/>
      <c r="P36" s="2511" t="s">
        <v>75</v>
      </c>
      <c r="Q36" s="2511"/>
      <c r="S36" s="2710" t="s">
        <v>2700</v>
      </c>
      <c r="T36" s="2710"/>
    </row>
    <row r="37" spans="1:20" s="278" customFormat="1" ht="30" customHeight="1">
      <c r="A37" s="305"/>
      <c r="B37" s="2739" t="s">
        <v>2631</v>
      </c>
      <c r="C37" s="2740"/>
      <c r="D37" s="2740"/>
      <c r="E37" s="2741" t="s">
        <v>4729</v>
      </c>
      <c r="F37" s="2742"/>
      <c r="G37" s="2742"/>
      <c r="H37" s="2743"/>
      <c r="I37" s="2801">
        <v>1400000</v>
      </c>
      <c r="J37" s="2802"/>
      <c r="K37" s="2363">
        <v>0.02</v>
      </c>
      <c r="L37" s="2359">
        <v>10</v>
      </c>
      <c r="M37" s="2359">
        <v>30</v>
      </c>
      <c r="N37" s="2803">
        <f t="shared" ref="N37:N41" si="0">IF(OR(I37&lt;=0,I37=""),"",IF(P37="Amortizing",-PMT(K37/12,M37*12,I37,0,0)*12,""))</f>
        <v>62096.071411721852</v>
      </c>
      <c r="O37" s="2803"/>
      <c r="P37" s="2786" t="s">
        <v>4580</v>
      </c>
      <c r="Q37" s="2786"/>
      <c r="S37" s="2711"/>
      <c r="T37" s="2712"/>
    </row>
    <row r="38" spans="1:20" s="278" customFormat="1" ht="14.25" customHeight="1">
      <c r="A38" s="305"/>
      <c r="B38" s="2750" t="s">
        <v>2632</v>
      </c>
      <c r="C38" s="2751"/>
      <c r="D38" s="2751"/>
      <c r="E38" s="2752"/>
      <c r="F38" s="2753"/>
      <c r="G38" s="2753"/>
      <c r="H38" s="2754"/>
      <c r="I38" s="2780"/>
      <c r="J38" s="2781"/>
      <c r="K38" s="2364"/>
      <c r="L38" s="2360"/>
      <c r="M38" s="2360"/>
      <c r="N38" s="2782" t="str">
        <f t="shared" si="0"/>
        <v/>
      </c>
      <c r="O38" s="2782"/>
      <c r="P38" s="2785"/>
      <c r="Q38" s="2785"/>
      <c r="S38" s="2713"/>
      <c r="T38" s="2714"/>
    </row>
    <row r="39" spans="1:20" s="278" customFormat="1" ht="14.25" customHeight="1">
      <c r="A39" s="305"/>
      <c r="B39" s="2750" t="s">
        <v>2633</v>
      </c>
      <c r="C39" s="2751"/>
      <c r="D39" s="2751"/>
      <c r="E39" s="2752"/>
      <c r="F39" s="2753"/>
      <c r="G39" s="2753"/>
      <c r="H39" s="2754"/>
      <c r="I39" s="2780"/>
      <c r="J39" s="2781"/>
      <c r="K39" s="2364"/>
      <c r="L39" s="2360"/>
      <c r="M39" s="2360"/>
      <c r="N39" s="2782" t="str">
        <f t="shared" si="0"/>
        <v/>
      </c>
      <c r="O39" s="2782"/>
      <c r="P39" s="2785"/>
      <c r="Q39" s="2785"/>
      <c r="S39" s="2713"/>
      <c r="T39" s="2714"/>
    </row>
    <row r="40" spans="1:20" s="278" customFormat="1" ht="14.25" customHeight="1">
      <c r="A40" s="305"/>
      <c r="B40" s="1569" t="s">
        <v>749</v>
      </c>
      <c r="C40" s="2795"/>
      <c r="D40" s="2796"/>
      <c r="E40" s="2752"/>
      <c r="F40" s="2753"/>
      <c r="G40" s="2753"/>
      <c r="H40" s="2754"/>
      <c r="I40" s="2780"/>
      <c r="J40" s="2781"/>
      <c r="K40" s="2365"/>
      <c r="L40" s="2361"/>
      <c r="M40" s="2361"/>
      <c r="N40" s="2797" t="str">
        <f t="shared" si="0"/>
        <v/>
      </c>
      <c r="O40" s="2797"/>
      <c r="P40" s="2798"/>
      <c r="Q40" s="2798"/>
      <c r="S40" s="2713"/>
      <c r="T40" s="2714"/>
    </row>
    <row r="41" spans="1:20" s="278" customFormat="1" ht="14.25" customHeight="1">
      <c r="A41" s="305"/>
      <c r="B41" s="1569" t="s">
        <v>2767</v>
      </c>
      <c r="C41" s="1570"/>
      <c r="D41" s="1575"/>
      <c r="E41" s="2752"/>
      <c r="F41" s="2753"/>
      <c r="G41" s="2753"/>
      <c r="H41" s="2754"/>
      <c r="I41" s="2780"/>
      <c r="J41" s="2781"/>
      <c r="K41" s="480"/>
      <c r="L41" s="1573"/>
      <c r="M41" s="1573"/>
      <c r="N41" s="2799" t="str">
        <f t="shared" si="0"/>
        <v/>
      </c>
      <c r="O41" s="2799"/>
      <c r="P41" s="2800"/>
      <c r="Q41" s="2800"/>
      <c r="S41" s="2713"/>
      <c r="T41" s="2714"/>
    </row>
    <row r="42" spans="1:20" s="278" customFormat="1" ht="14.25" customHeight="1">
      <c r="A42" s="305"/>
      <c r="B42" s="1566" t="s">
        <v>230</v>
      </c>
      <c r="C42" s="1567"/>
      <c r="D42" s="382" t="str">
        <f>IF(OR(I42="",I42=0,'Part IV-A-Uses of Funds'!$G$118="",'Part IV-A-Uses of Funds'!$G$118=0),"",I42/'Part IV-A-Uses of Funds'!$G$118)</f>
        <v/>
      </c>
      <c r="E42" s="2730"/>
      <c r="F42" s="2731"/>
      <c r="G42" s="2731"/>
      <c r="H42" s="2732"/>
      <c r="I42" s="2787"/>
      <c r="J42" s="2788"/>
      <c r="K42" s="2366"/>
      <c r="L42" s="2362"/>
      <c r="M42" s="2362"/>
      <c r="N42" s="2789"/>
      <c r="O42" s="2790"/>
      <c r="P42" s="2791"/>
      <c r="Q42" s="2792"/>
      <c r="S42" s="2713"/>
      <c r="T42" s="2714"/>
    </row>
    <row r="43" spans="1:20" s="278" customFormat="1" ht="3" customHeight="1">
      <c r="A43" s="305"/>
      <c r="B43" s="305"/>
      <c r="C43" s="305"/>
      <c r="D43" s="305"/>
      <c r="E43" s="305"/>
      <c r="F43" s="305"/>
      <c r="G43" s="305"/>
      <c r="H43" s="305"/>
      <c r="I43" s="1616"/>
      <c r="J43" s="2367"/>
      <c r="K43" s="1615"/>
      <c r="L43" s="1571"/>
      <c r="M43" s="1571"/>
      <c r="N43" s="1617"/>
      <c r="O43" s="1617"/>
      <c r="P43" s="1571"/>
      <c r="Q43" s="1571"/>
      <c r="S43" s="2368"/>
      <c r="T43" s="2369"/>
    </row>
    <row r="44" spans="1:20" s="278" customFormat="1" ht="14.25" customHeight="1">
      <c r="A44" s="305"/>
      <c r="B44" s="1165" t="s">
        <v>4235</v>
      </c>
      <c r="C44" s="1570"/>
      <c r="E44" s="278" t="s">
        <v>4129</v>
      </c>
      <c r="F44" s="2793" t="str">
        <f>IF(OR($I$42="",$I$42=0,'Part VII-Pro Forma'!$S$33=0,'Part VII-Pro Forma'!$S$33=""),"",VLOOKUP($L$42,'Part VII-Pro Forma'!$Q$19:$S$38,3))</f>
        <v/>
      </c>
      <c r="G44" s="2794"/>
      <c r="H44" s="649" t="s">
        <v>4234</v>
      </c>
      <c r="I44" s="2778" t="str">
        <f>IF(OR($I$42="",$I$42=0,'Part VII-Pro Forma'!$R$33=0,'Part VII-Pro Forma'!$R$33=""),"",VLOOKUP($L$42,'Part VII-Pro Forma'!$Q$19:$S$33,2))</f>
        <v/>
      </c>
      <c r="J44" s="2779"/>
      <c r="K44" s="2370"/>
      <c r="L44" s="1571"/>
      <c r="M44" s="1571"/>
      <c r="N44" s="1617"/>
      <c r="O44" s="1617"/>
      <c r="P44" s="1571"/>
      <c r="Q44" s="1571"/>
      <c r="S44" s="2368"/>
      <c r="T44" s="2369"/>
    </row>
    <row r="45" spans="1:20" s="278" customFormat="1" ht="14.25" customHeight="1">
      <c r="A45" s="305"/>
      <c r="B45" s="1165" t="s">
        <v>4294</v>
      </c>
      <c r="C45" s="1570"/>
      <c r="D45" s="1166"/>
      <c r="F45" s="2774">
        <v>0</v>
      </c>
      <c r="G45" s="2775"/>
      <c r="H45" s="649" t="s">
        <v>4236</v>
      </c>
      <c r="I45" s="2776" t="str">
        <f>IF(OR($F$44 = 0,$F$44 =""),"",$I$44/$F$44)</f>
        <v/>
      </c>
      <c r="J45" s="2777"/>
      <c r="K45" s="1615"/>
      <c r="L45" s="1571"/>
      <c r="M45" s="1571"/>
      <c r="N45" s="1617"/>
      <c r="O45" s="1617"/>
      <c r="P45" s="1571"/>
      <c r="Q45" s="1571"/>
      <c r="S45" s="2368"/>
      <c r="T45" s="2369"/>
    </row>
    <row r="46" spans="1:20" s="278" customFormat="1" ht="3" customHeight="1">
      <c r="A46" s="305"/>
      <c r="B46" s="305"/>
      <c r="C46" s="305"/>
      <c r="D46" s="305"/>
      <c r="E46" s="305"/>
      <c r="F46" s="305"/>
      <c r="G46" s="305"/>
      <c r="H46" s="305"/>
      <c r="I46" s="2371"/>
      <c r="J46" s="2372"/>
      <c r="K46" s="1615"/>
      <c r="L46" s="1571"/>
      <c r="M46" s="1571"/>
      <c r="N46" s="1617"/>
      <c r="O46" s="1617"/>
      <c r="P46" s="1571"/>
      <c r="Q46" s="1571"/>
      <c r="S46" s="2368"/>
      <c r="T46" s="2369"/>
    </row>
    <row r="47" spans="1:20" s="278" customFormat="1" ht="14.25" customHeight="1">
      <c r="A47" s="305"/>
      <c r="B47" s="2804" t="s">
        <v>2231</v>
      </c>
      <c r="C47" s="2805"/>
      <c r="D47" s="2806"/>
      <c r="E47" s="2741"/>
      <c r="F47" s="2742"/>
      <c r="G47" s="2742"/>
      <c r="H47" s="2743"/>
      <c r="I47" s="2807"/>
      <c r="J47" s="2808"/>
      <c r="K47" s="383"/>
      <c r="L47" s="383"/>
      <c r="M47" s="383"/>
      <c r="N47" s="383"/>
      <c r="O47" s="383"/>
      <c r="P47" s="383"/>
      <c r="Q47" s="383"/>
      <c r="S47" s="2711"/>
      <c r="T47" s="2712"/>
    </row>
    <row r="48" spans="1:20" s="278" customFormat="1" ht="14.25" customHeight="1">
      <c r="A48" s="305"/>
      <c r="B48" s="2750" t="s">
        <v>809</v>
      </c>
      <c r="C48" s="2751"/>
      <c r="D48" s="2809"/>
      <c r="E48" s="2752"/>
      <c r="F48" s="2753"/>
      <c r="G48" s="2753"/>
      <c r="H48" s="2754"/>
      <c r="I48" s="2780"/>
      <c r="J48" s="2781"/>
      <c r="L48" s="2810" t="s">
        <v>522</v>
      </c>
      <c r="M48" s="2810"/>
      <c r="N48" s="2811" t="s">
        <v>523</v>
      </c>
      <c r="O48" s="2811"/>
      <c r="P48" s="413" t="s">
        <v>521</v>
      </c>
      <c r="Q48" s="383"/>
      <c r="S48" s="2713"/>
      <c r="T48" s="2714"/>
    </row>
    <row r="49" spans="1:23" s="278" customFormat="1" ht="14.25" customHeight="1">
      <c r="A49" s="305"/>
      <c r="B49" s="2750" t="s">
        <v>810</v>
      </c>
      <c r="C49" s="2751"/>
      <c r="D49" s="2809"/>
      <c r="E49" s="2752" t="s">
        <v>4581</v>
      </c>
      <c r="F49" s="2753"/>
      <c r="G49" s="2753"/>
      <c r="H49" s="2754"/>
      <c r="I49" s="2780">
        <v>7431014.5</v>
      </c>
      <c r="J49" s="2780"/>
      <c r="L49" s="2812">
        <f>'Part IV-A-Uses of Funds'!$J$175*10*'Part IV-A-Uses of Funds'!$N$168</f>
        <v>7431014.5</v>
      </c>
      <c r="M49" s="2812"/>
      <c r="N49" s="2813">
        <f>I49-L49</f>
        <v>0</v>
      </c>
      <c r="O49" s="2813"/>
      <c r="P49" s="414" t="s">
        <v>2577</v>
      </c>
      <c r="Q49" s="383"/>
      <c r="S49" s="2713"/>
      <c r="T49" s="2714"/>
    </row>
    <row r="50" spans="1:23" s="278" customFormat="1" ht="14.25" customHeight="1">
      <c r="A50" s="305"/>
      <c r="B50" s="2750" t="s">
        <v>811</v>
      </c>
      <c r="C50" s="2751"/>
      <c r="D50" s="2809"/>
      <c r="E50" s="2752" t="s">
        <v>4581</v>
      </c>
      <c r="F50" s="2753"/>
      <c r="G50" s="2753"/>
      <c r="H50" s="2754"/>
      <c r="I50" s="2780">
        <v>4808303.5</v>
      </c>
      <c r="J50" s="2780"/>
      <c r="L50" s="2812">
        <f>'Part IV-A-Uses of Funds'!$J$175*10*'Part IV-A-Uses of Funds'!$Q$168</f>
        <v>4808303.5</v>
      </c>
      <c r="M50" s="2812"/>
      <c r="N50" s="2813">
        <f>I50-L50</f>
        <v>0</v>
      </c>
      <c r="O50" s="2813"/>
      <c r="P50" s="415">
        <f>I49/I59</f>
        <v>0.54482302560875839</v>
      </c>
      <c r="Q50" s="383"/>
      <c r="S50" s="2713"/>
      <c r="T50" s="2714"/>
    </row>
    <row r="51" spans="1:23" s="278" customFormat="1" ht="14.25" customHeight="1">
      <c r="A51" s="305"/>
      <c r="B51" s="2750" t="s">
        <v>1422</v>
      </c>
      <c r="C51" s="2751"/>
      <c r="D51" s="2809"/>
      <c r="E51" s="2752"/>
      <c r="F51" s="2753"/>
      <c r="G51" s="2753"/>
      <c r="H51" s="2754"/>
      <c r="I51" s="2780"/>
      <c r="J51" s="2780"/>
      <c r="P51" s="415">
        <f>I50/I59</f>
        <v>0.35253254598213779</v>
      </c>
      <c r="Q51" s="383"/>
      <c r="S51" s="2715"/>
      <c r="T51" s="2716"/>
    </row>
    <row r="52" spans="1:23" s="278" customFormat="1" ht="14.25" customHeight="1">
      <c r="A52" s="305"/>
      <c r="B52" s="1569" t="s">
        <v>536</v>
      </c>
      <c r="C52" s="1570"/>
      <c r="D52" s="1575"/>
      <c r="E52" s="2752"/>
      <c r="F52" s="2753"/>
      <c r="G52" s="2753"/>
      <c r="H52" s="2754"/>
      <c r="I52" s="2780"/>
      <c r="J52" s="2780"/>
      <c r="K52" s="305"/>
      <c r="P52" s="416">
        <f>SUM(P50:P51)</f>
        <v>0.89735557159089618</v>
      </c>
      <c r="Q52" s="383"/>
      <c r="S52" s="2713"/>
      <c r="T52" s="2714"/>
    </row>
    <row r="53" spans="1:23" s="278" customFormat="1" ht="14.25" customHeight="1">
      <c r="A53" s="305"/>
      <c r="B53" s="1569" t="s">
        <v>1883</v>
      </c>
      <c r="C53" s="1570"/>
      <c r="D53" s="1575"/>
      <c r="E53" s="2752"/>
      <c r="F53" s="2753"/>
      <c r="G53" s="2753"/>
      <c r="H53" s="2754"/>
      <c r="I53" s="2780"/>
      <c r="J53" s="2780"/>
      <c r="N53" s="384"/>
      <c r="O53" s="384"/>
      <c r="P53" s="384"/>
      <c r="Q53" s="383"/>
      <c r="S53" s="2713"/>
      <c r="T53" s="2714"/>
    </row>
    <row r="54" spans="1:23" s="278" customFormat="1" ht="14.25" customHeight="1">
      <c r="A54" s="305"/>
      <c r="B54" s="1569" t="s">
        <v>1884</v>
      </c>
      <c r="C54" s="1570"/>
      <c r="D54" s="1575"/>
      <c r="E54" s="2752"/>
      <c r="F54" s="2753"/>
      <c r="G54" s="2753"/>
      <c r="H54" s="2754"/>
      <c r="I54" s="2780"/>
      <c r="J54" s="2780"/>
      <c r="M54" s="384"/>
      <c r="N54" s="384"/>
      <c r="O54" s="384"/>
      <c r="P54" s="384"/>
      <c r="Q54" s="383"/>
      <c r="S54" s="2713"/>
      <c r="T54" s="2714"/>
    </row>
    <row r="55" spans="1:23" s="278" customFormat="1" ht="14.25" customHeight="1">
      <c r="A55" s="305"/>
      <c r="B55" s="1569" t="s">
        <v>749</v>
      </c>
      <c r="C55" s="2765"/>
      <c r="D55" s="2765"/>
      <c r="E55" s="2752"/>
      <c r="F55" s="2753"/>
      <c r="G55" s="2753"/>
      <c r="H55" s="2754"/>
      <c r="I55" s="2780"/>
      <c r="J55" s="2780"/>
      <c r="M55" s="384"/>
      <c r="N55" s="384"/>
      <c r="O55" s="384"/>
      <c r="P55" s="384"/>
      <c r="Q55" s="383"/>
      <c r="S55" s="2713"/>
      <c r="T55" s="2714"/>
    </row>
    <row r="56" spans="1:23" s="278" customFormat="1" ht="14.25" customHeight="1">
      <c r="A56" s="305"/>
      <c r="B56" s="1569" t="s">
        <v>749</v>
      </c>
      <c r="C56" s="2766"/>
      <c r="D56" s="2766"/>
      <c r="E56" s="2752"/>
      <c r="F56" s="2753"/>
      <c r="G56" s="2753"/>
      <c r="H56" s="2754"/>
      <c r="I56" s="2780"/>
      <c r="J56" s="2780"/>
      <c r="K56" s="305"/>
      <c r="L56" s="385"/>
      <c r="M56" s="384"/>
      <c r="N56" s="384"/>
      <c r="O56" s="384"/>
      <c r="P56" s="384"/>
      <c r="Q56" s="383"/>
      <c r="S56" s="2713"/>
      <c r="T56" s="2714"/>
    </row>
    <row r="57" spans="1:23" s="278" customFormat="1" ht="14.25" customHeight="1">
      <c r="A57" s="305"/>
      <c r="B57" s="1566" t="s">
        <v>749</v>
      </c>
      <c r="C57" s="2767"/>
      <c r="D57" s="2767"/>
      <c r="E57" s="2730"/>
      <c r="F57" s="2731"/>
      <c r="G57" s="2731"/>
      <c r="H57" s="2732"/>
      <c r="I57" s="2815"/>
      <c r="J57" s="2815"/>
      <c r="K57" s="305"/>
      <c r="L57" s="385"/>
      <c r="M57" s="384"/>
      <c r="N57" s="384"/>
      <c r="O57" s="384"/>
      <c r="P57" s="384"/>
      <c r="Q57" s="383"/>
      <c r="S57" s="2713"/>
      <c r="T57" s="2714"/>
    </row>
    <row r="58" spans="1:23" s="278" customFormat="1" ht="14.25" customHeight="1">
      <c r="A58" s="305"/>
      <c r="B58" s="1559" t="s">
        <v>2232</v>
      </c>
      <c r="C58" s="305"/>
      <c r="D58" s="305"/>
      <c r="E58" s="305"/>
      <c r="F58" s="305"/>
      <c r="G58" s="305"/>
      <c r="I58" s="2816">
        <f>SUM(I37:J42)+SUM(I47:J57)</f>
        <v>13639318</v>
      </c>
      <c r="J58" s="2817"/>
      <c r="K58" s="305"/>
      <c r="L58" s="385"/>
      <c r="M58" s="384"/>
      <c r="N58" s="384"/>
      <c r="O58" s="384"/>
      <c r="P58" s="384"/>
      <c r="Q58" s="383"/>
      <c r="S58" s="2713"/>
      <c r="T58" s="2714"/>
    </row>
    <row r="59" spans="1:23" s="278" customFormat="1" ht="14.25" customHeight="1" thickBot="1">
      <c r="A59" s="305"/>
      <c r="B59" s="1559" t="s">
        <v>2233</v>
      </c>
      <c r="C59" s="305"/>
      <c r="D59" s="305"/>
      <c r="E59" s="305"/>
      <c r="F59" s="305"/>
      <c r="G59" s="305"/>
      <c r="I59" s="2818">
        <f>'Part IV-A-Uses of Funds'!$G$132</f>
        <v>13639318</v>
      </c>
      <c r="J59" s="2819"/>
      <c r="K59" s="305"/>
      <c r="L59" s="385"/>
      <c r="M59" s="384"/>
      <c r="N59" s="384"/>
      <c r="O59" s="384"/>
      <c r="P59" s="384"/>
      <c r="Q59" s="383"/>
      <c r="S59" s="2713"/>
      <c r="T59" s="2714"/>
    </row>
    <row r="60" spans="1:23" s="278" customFormat="1" ht="14.25" customHeight="1" thickBot="1">
      <c r="A60" s="305"/>
      <c r="B60" s="310" t="s">
        <v>1537</v>
      </c>
      <c r="C60" s="305"/>
      <c r="D60" s="305"/>
      <c r="E60" s="305"/>
      <c r="F60" s="305"/>
      <c r="G60" s="305"/>
      <c r="I60" s="2820">
        <f>I58-I59</f>
        <v>0</v>
      </c>
      <c r="J60" s="2821"/>
      <c r="K60" s="305"/>
      <c r="L60" s="385"/>
      <c r="M60" s="384"/>
      <c r="N60" s="384"/>
      <c r="O60" s="384"/>
      <c r="P60" s="384"/>
      <c r="Q60" s="383"/>
      <c r="S60" s="2715"/>
      <c r="T60" s="2716"/>
    </row>
    <row r="61" spans="1:23" s="278" customFormat="1" ht="13.15" customHeight="1">
      <c r="A61" s="305" t="s">
        <v>3490</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111.75" customHeight="1">
      <c r="A64" s="2823" t="s">
        <v>4721</v>
      </c>
      <c r="B64" s="2823"/>
      <c r="C64" s="2823"/>
      <c r="D64" s="2823"/>
      <c r="E64" s="2823"/>
      <c r="F64" s="2823"/>
      <c r="G64" s="2823"/>
      <c r="H64" s="2823"/>
      <c r="I64" s="2823"/>
      <c r="J64" s="2823"/>
      <c r="K64" s="2823"/>
      <c r="L64" s="2823"/>
      <c r="M64" s="2822"/>
      <c r="N64" s="2822"/>
      <c r="O64" s="2822"/>
      <c r="P64" s="2822"/>
      <c r="Q64" s="2822"/>
      <c r="S64" s="2814" t="s">
        <v>2710</v>
      </c>
      <c r="T64" s="2814"/>
      <c r="U64" s="492"/>
      <c r="V64" s="492"/>
      <c r="W64" s="492"/>
    </row>
    <row r="65" spans="1:23" ht="11.25" customHeight="1">
      <c r="S65" s="492"/>
      <c r="T65" s="492"/>
      <c r="U65" s="492"/>
      <c r="V65" s="492"/>
      <c r="W65" s="492"/>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Nzq/OPbKGamZY4jS8kgttSgcTqtG3Wiwnsz3ASvLsECZyBShmxKW8oD696mQyDX50T/Ht9vuO9wjJYsBl5oPgw==" saltValue="dMdCmXfDTb9GUypaqrxRPw==" spinCount="100000" sheet="1" formatRows="0"/>
  <mergeCells count="1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149999999999999" customHeight="1">
      <c r="A1" s="2832" t="e">
        <f>CONCATENATE("PART III B: USD 538 LOAN","  -  ",#REF!," ",#REF!,", ",#REF!,", ",#REF!," County")</f>
        <v>#REF!</v>
      </c>
      <c r="B1" s="2833"/>
      <c r="C1" s="2833"/>
      <c r="D1" s="2833"/>
      <c r="E1" s="2833"/>
      <c r="F1" s="2834"/>
      <c r="G1" s="168"/>
      <c r="H1" s="168"/>
      <c r="I1" s="168"/>
      <c r="J1" s="168"/>
      <c r="K1" s="168"/>
      <c r="L1" s="168"/>
      <c r="M1" s="168"/>
      <c r="N1" s="168"/>
      <c r="O1" s="168"/>
      <c r="P1" s="168"/>
      <c r="Q1" s="168"/>
    </row>
    <row r="2" spans="1:17" ht="10.9" customHeight="1">
      <c r="A2" s="200"/>
      <c r="B2" s="200"/>
      <c r="C2" s="200"/>
      <c r="D2" s="200"/>
      <c r="E2" s="200"/>
      <c r="F2" s="200"/>
      <c r="G2" s="200"/>
      <c r="H2" s="200"/>
    </row>
    <row r="3" spans="1:17" ht="14.45" customHeight="1">
      <c r="A3" s="2825" t="s">
        <v>220</v>
      </c>
      <c r="B3" s="2825"/>
      <c r="C3" s="2825"/>
      <c r="D3" s="2825"/>
      <c r="E3" s="2825"/>
      <c r="F3" s="2825"/>
      <c r="G3" s="200"/>
      <c r="H3" s="200"/>
    </row>
    <row r="4" spans="1:17" s="188" customFormat="1" ht="6" customHeight="1"/>
    <row r="5" spans="1:17">
      <c r="A5" s="34" t="s">
        <v>2271</v>
      </c>
      <c r="B5" s="34"/>
      <c r="C5" s="266"/>
      <c r="D5" s="267">
        <f>IF(C5&gt;1500000,1500000,0)</f>
        <v>0</v>
      </c>
      <c r="E5" s="268">
        <f>IF(C5&gt;1500000,C5-1500000,0)</f>
        <v>0</v>
      </c>
    </row>
    <row r="6" spans="1:17">
      <c r="A6" s="34" t="s">
        <v>2479</v>
      </c>
      <c r="B6" s="223" t="s">
        <v>510</v>
      </c>
      <c r="C6" s="269">
        <v>0</v>
      </c>
      <c r="D6" s="121" t="s">
        <v>511</v>
      </c>
      <c r="E6" s="34"/>
    </row>
    <row r="7" spans="1:17">
      <c r="A7" s="34"/>
      <c r="B7" s="223" t="s">
        <v>2495</v>
      </c>
      <c r="C7" s="270"/>
      <c r="D7" s="121" t="s">
        <v>1676</v>
      </c>
      <c r="E7" s="34"/>
    </row>
    <row r="8" spans="1:17" ht="13.15" customHeight="1">
      <c r="A8" s="34" t="s">
        <v>2483</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2826" t="s">
        <v>129</v>
      </c>
      <c r="B14" s="2826"/>
      <c r="C14" s="2826"/>
      <c r="D14" s="2826"/>
      <c r="E14" s="2826"/>
      <c r="F14" s="2826"/>
      <c r="G14" s="200"/>
      <c r="H14" s="200"/>
    </row>
    <row r="15" spans="1:17" ht="5.45" customHeight="1">
      <c r="A15" s="29"/>
      <c r="E15" s="211"/>
      <c r="F15" s="200"/>
      <c r="G15" s="200"/>
      <c r="H15" s="200"/>
    </row>
    <row r="16" spans="1:17" ht="13.15" customHeight="1">
      <c r="A16" s="213" t="s">
        <v>2496</v>
      </c>
      <c r="B16" s="214" t="s">
        <v>2493</v>
      </c>
      <c r="C16" s="214" t="s">
        <v>2494</v>
      </c>
      <c r="D16" s="2835" t="s">
        <v>2270</v>
      </c>
      <c r="E16" s="2835"/>
      <c r="F16" s="200"/>
      <c r="G16" s="200"/>
      <c r="H16" s="200"/>
    </row>
    <row r="17" spans="1:8" ht="12.6" customHeight="1">
      <c r="A17" s="83">
        <v>1</v>
      </c>
      <c r="B17" s="189">
        <f>IF(A17&gt;$C$9,0,SUM(C64:C75)*($C$6/$C$7))</f>
        <v>0</v>
      </c>
      <c r="C17" s="212">
        <f>IF(A17&gt;C9,0,(E63+K63)*$C$8)</f>
        <v>0</v>
      </c>
      <c r="D17" s="2830">
        <f t="shared" ref="D17:D56" si="0">IF(A17&gt;$C$9,0,$C$11+C17)</f>
        <v>0</v>
      </c>
      <c r="E17" s="2830"/>
      <c r="F17" s="200"/>
      <c r="G17" s="200"/>
      <c r="H17" s="200"/>
    </row>
    <row r="18" spans="1:8" ht="12.6" customHeight="1">
      <c r="A18" s="83">
        <v>2</v>
      </c>
      <c r="B18" s="189">
        <f>IF(A18&gt;C9,0,SUM(C76:C87)*($C$6/$C$7))</f>
        <v>0</v>
      </c>
      <c r="C18" s="219">
        <f>IF(A18&gt;C9,0,(E75+K75)*$C$8)</f>
        <v>0</v>
      </c>
      <c r="D18" s="2828">
        <f t="shared" si="0"/>
        <v>0</v>
      </c>
      <c r="E18" s="2828"/>
      <c r="F18" s="200"/>
      <c r="G18" s="200"/>
      <c r="H18" s="200"/>
    </row>
    <row r="19" spans="1:8" ht="12.6" customHeight="1">
      <c r="A19" s="83">
        <v>3</v>
      </c>
      <c r="B19" s="189">
        <f>IF(A19&gt;C9,0,SUM(C88:C99)*($C$6/$C$7))</f>
        <v>0</v>
      </c>
      <c r="C19" s="212">
        <f>IF(A19&gt;C9,0,(E87+K87)*$C$8)</f>
        <v>0</v>
      </c>
      <c r="D19" s="2828">
        <f t="shared" si="0"/>
        <v>0</v>
      </c>
      <c r="E19" s="2828"/>
      <c r="F19" s="200"/>
      <c r="G19" s="200"/>
      <c r="H19" s="200"/>
    </row>
    <row r="20" spans="1:8" ht="12.6" customHeight="1">
      <c r="A20" s="83">
        <v>4</v>
      </c>
      <c r="B20" s="189">
        <f>IF(A20&gt;C9,0,SUM(C100:C111)*($C$6/$C$7))</f>
        <v>0</v>
      </c>
      <c r="C20" s="212">
        <f>IF(A20&gt;C9,0,(E99+K99)*$C$8)</f>
        <v>0</v>
      </c>
      <c r="D20" s="2828">
        <f t="shared" si="0"/>
        <v>0</v>
      </c>
      <c r="E20" s="2828"/>
      <c r="F20" s="200"/>
      <c r="G20" s="200"/>
      <c r="H20" s="200"/>
    </row>
    <row r="21" spans="1:8" ht="12.6" customHeight="1">
      <c r="A21" s="83">
        <v>5</v>
      </c>
      <c r="B21" s="189">
        <f>IF(A21&gt;C9,0,SUM(C112:C123)*($C$6/$C$7))</f>
        <v>0</v>
      </c>
      <c r="C21" s="212">
        <f>IF(A21&gt;C9,0,(E111+K111)*$C$8)</f>
        <v>0</v>
      </c>
      <c r="D21" s="2829">
        <f t="shared" si="0"/>
        <v>0</v>
      </c>
      <c r="E21" s="2829"/>
      <c r="F21" s="200"/>
      <c r="G21" s="200"/>
      <c r="H21" s="200"/>
    </row>
    <row r="22" spans="1:8" ht="12.6" customHeight="1">
      <c r="A22" s="190">
        <v>6</v>
      </c>
      <c r="B22" s="191">
        <f>IF(A22&gt;C9,0,SUM(C124:C135)*($C$6/$C$7))</f>
        <v>0</v>
      </c>
      <c r="C22" s="216">
        <f>IF(A22&gt;C9,0,(E123+K123)*$C$8)</f>
        <v>0</v>
      </c>
      <c r="D22" s="2828">
        <f t="shared" si="0"/>
        <v>0</v>
      </c>
      <c r="E22" s="2828"/>
      <c r="F22" s="200"/>
      <c r="G22" s="200"/>
      <c r="H22" s="200"/>
    </row>
    <row r="23" spans="1:8" ht="12.6" customHeight="1">
      <c r="A23" s="192">
        <v>7</v>
      </c>
      <c r="B23" s="193">
        <f>IF(A23&gt;C9,0,SUM(C136:C147)*($C$6/$C$7))</f>
        <v>0</v>
      </c>
      <c r="C23" s="194">
        <f>IF(A23&gt;C9,0,(E135+K135)*$C$8)</f>
        <v>0</v>
      </c>
      <c r="D23" s="2828">
        <f t="shared" si="0"/>
        <v>0</v>
      </c>
      <c r="E23" s="2828"/>
      <c r="F23" s="200"/>
      <c r="G23" s="200"/>
      <c r="H23" s="200"/>
    </row>
    <row r="24" spans="1:8" ht="12.6" customHeight="1">
      <c r="A24" s="192">
        <v>8</v>
      </c>
      <c r="B24" s="193">
        <f>IF(A24&gt;C9,0,SUM(C148:C159)*($C$6/$C$7))</f>
        <v>0</v>
      </c>
      <c r="C24" s="194">
        <f>IF(A24&gt;C9,0,(E147+K147)*$C$8)</f>
        <v>0</v>
      </c>
      <c r="D24" s="2828">
        <f t="shared" si="0"/>
        <v>0</v>
      </c>
      <c r="E24" s="2828"/>
      <c r="F24" s="200"/>
      <c r="G24" s="200"/>
      <c r="H24" s="200"/>
    </row>
    <row r="25" spans="1:8" ht="12.6" customHeight="1">
      <c r="A25" s="192">
        <v>9</v>
      </c>
      <c r="B25" s="193">
        <f>IF(A25&gt;C9,0,SUM(C160:C171)*($C$6/$C$7))</f>
        <v>0</v>
      </c>
      <c r="C25" s="194">
        <f>IF(A25&gt;C9,0,(E159+K159)*$C$8)</f>
        <v>0</v>
      </c>
      <c r="D25" s="2828">
        <f t="shared" si="0"/>
        <v>0</v>
      </c>
      <c r="E25" s="2828"/>
      <c r="F25" s="200"/>
      <c r="G25" s="200"/>
      <c r="H25" s="200"/>
    </row>
    <row r="26" spans="1:8" ht="12.6" customHeight="1">
      <c r="A26" s="195">
        <v>10</v>
      </c>
      <c r="B26" s="196">
        <f>IF(A26&gt;C9,0,SUM(C172:C183)*($C$6/$C$7))</f>
        <v>0</v>
      </c>
      <c r="C26" s="215">
        <f>IF(A26&gt;C9,0,(E171+K171)*$C$8)</f>
        <v>0</v>
      </c>
      <c r="D26" s="2829">
        <f t="shared" si="0"/>
        <v>0</v>
      </c>
      <c r="E26" s="2829"/>
      <c r="F26" s="200"/>
      <c r="G26" s="200"/>
      <c r="H26" s="200"/>
    </row>
    <row r="27" spans="1:8" ht="12.6" customHeight="1">
      <c r="A27" s="197">
        <v>11</v>
      </c>
      <c r="B27" s="189">
        <f>IF(A27&gt;C9,0,SUM(C184:C195)*($C$6/$C$7))</f>
        <v>0</v>
      </c>
      <c r="C27" s="212">
        <f>IF(A27&gt;C9,0,(E183+K183)*$C$8)</f>
        <v>0</v>
      </c>
      <c r="D27" s="2828">
        <f t="shared" si="0"/>
        <v>0</v>
      </c>
      <c r="E27" s="2828"/>
      <c r="F27" s="200"/>
      <c r="G27" s="200"/>
      <c r="H27" s="200"/>
    </row>
    <row r="28" spans="1:8" ht="12.6" customHeight="1">
      <c r="A28" s="197">
        <v>12</v>
      </c>
      <c r="B28" s="189">
        <f>IF(A28&gt;C9,0,SUM(C196:C207)*($C$6/$C$7))</f>
        <v>0</v>
      </c>
      <c r="C28" s="212">
        <f>IF(A28&gt;C9,0,(E195+K195)*$C$8)</f>
        <v>0</v>
      </c>
      <c r="D28" s="2828">
        <f t="shared" si="0"/>
        <v>0</v>
      </c>
      <c r="E28" s="2828"/>
      <c r="F28" s="200"/>
      <c r="G28" s="200"/>
      <c r="H28" s="200"/>
    </row>
    <row r="29" spans="1:8" ht="12.6" customHeight="1">
      <c r="A29" s="197">
        <v>13</v>
      </c>
      <c r="B29" s="189">
        <f>IF(A29&gt;C9,0,SUM(C208:C219)*($C$6/$C$7))</f>
        <v>0</v>
      </c>
      <c r="C29" s="212">
        <f>IF(A29&gt;C9,0,(E207+K207)*$C$8)</f>
        <v>0</v>
      </c>
      <c r="D29" s="2828">
        <f t="shared" si="0"/>
        <v>0</v>
      </c>
      <c r="E29" s="2828"/>
      <c r="F29" s="200"/>
      <c r="G29" s="200"/>
      <c r="H29" s="200"/>
    </row>
    <row r="30" spans="1:8" ht="12.6" customHeight="1">
      <c r="A30" s="197">
        <v>14</v>
      </c>
      <c r="B30" s="189">
        <f>IF(A30&gt;C9,0,SUM(C220:C231)*($C$6/$C$7))</f>
        <v>0</v>
      </c>
      <c r="C30" s="212">
        <f>IF(A30&gt;C9,0,(E219+K219)*$C$8)</f>
        <v>0</v>
      </c>
      <c r="D30" s="2828">
        <f t="shared" si="0"/>
        <v>0</v>
      </c>
      <c r="E30" s="2828"/>
      <c r="F30" s="200"/>
      <c r="G30" s="200"/>
      <c r="H30" s="200"/>
    </row>
    <row r="31" spans="1:8" ht="12.6" customHeight="1">
      <c r="A31" s="197">
        <v>15</v>
      </c>
      <c r="B31" s="189">
        <f>IF(A31&gt;C9,0,SUM(C232:C243)*($C$6/$C$7))</f>
        <v>0</v>
      </c>
      <c r="C31" s="212">
        <f>IF(A31&gt;C9,0,(E231+K231)*$C$8)</f>
        <v>0</v>
      </c>
      <c r="D31" s="2829">
        <f t="shared" si="0"/>
        <v>0</v>
      </c>
      <c r="E31" s="2829"/>
      <c r="F31" s="200"/>
      <c r="G31" s="200"/>
      <c r="H31" s="200"/>
    </row>
    <row r="32" spans="1:8" ht="12.6" customHeight="1">
      <c r="A32" s="199">
        <v>16</v>
      </c>
      <c r="B32" s="191">
        <f>IF(A32&gt;C9,0,SUM(C244:C255)*($C$6/$C$7))</f>
        <v>0</v>
      </c>
      <c r="C32" s="216">
        <f>IF(A32&gt;C9,0,(E243+K243)*$C$8)</f>
        <v>0</v>
      </c>
      <c r="D32" s="2828">
        <f t="shared" si="0"/>
        <v>0</v>
      </c>
      <c r="E32" s="2828"/>
      <c r="F32" s="200"/>
      <c r="G32" s="200"/>
      <c r="H32" s="200"/>
    </row>
    <row r="33" spans="1:8" ht="12.6" customHeight="1">
      <c r="A33" s="192">
        <v>17</v>
      </c>
      <c r="B33" s="193">
        <f>IF(A33&gt;C9,0,SUM(C256:C267)*($C$6/$C$7))</f>
        <v>0</v>
      </c>
      <c r="C33" s="194">
        <f>IF(A33&gt;C9,0,(E255+K255)*$C$8)</f>
        <v>0</v>
      </c>
      <c r="D33" s="2828">
        <f t="shared" si="0"/>
        <v>0</v>
      </c>
      <c r="E33" s="2828"/>
      <c r="F33" s="200"/>
      <c r="G33" s="200"/>
      <c r="H33" s="200"/>
    </row>
    <row r="34" spans="1:8" ht="12.6" customHeight="1">
      <c r="A34" s="192">
        <v>18</v>
      </c>
      <c r="B34" s="193">
        <f>IF(A34&gt;C9,0,SUM(C268:C279)*($C$6/$C$7))</f>
        <v>0</v>
      </c>
      <c r="C34" s="194">
        <f>IF(A34&gt;C9,0,(E267+K267)*$C$8)</f>
        <v>0</v>
      </c>
      <c r="D34" s="2828">
        <f t="shared" si="0"/>
        <v>0</v>
      </c>
      <c r="E34" s="2828"/>
      <c r="F34" s="200"/>
      <c r="G34" s="200"/>
      <c r="H34" s="200"/>
    </row>
    <row r="35" spans="1:8" ht="12.6" customHeight="1">
      <c r="A35" s="192">
        <v>19</v>
      </c>
      <c r="B35" s="193">
        <f>IF(A35&gt;C9,0,SUM(C280:C291)*($C$6/$C$7))</f>
        <v>0</v>
      </c>
      <c r="C35" s="194">
        <f>IF(A35&gt;C9,0,(E279+K279)*$C$8)</f>
        <v>0</v>
      </c>
      <c r="D35" s="2828">
        <f t="shared" si="0"/>
        <v>0</v>
      </c>
      <c r="E35" s="2828"/>
      <c r="F35" s="200"/>
      <c r="G35" s="200"/>
      <c r="H35" s="200"/>
    </row>
    <row r="36" spans="1:8" ht="12.6" customHeight="1">
      <c r="A36" s="195">
        <v>20</v>
      </c>
      <c r="B36" s="196">
        <f>IF(A36&gt;C9,0,SUM(C292:C303)*($C$6/$C$7))</f>
        <v>0</v>
      </c>
      <c r="C36" s="215">
        <f>IF(A36&gt;C9,0,(E291+K291)*$C$8)</f>
        <v>0</v>
      </c>
      <c r="D36" s="2829">
        <f t="shared" si="0"/>
        <v>0</v>
      </c>
      <c r="E36" s="2829"/>
      <c r="F36" s="200"/>
      <c r="G36" s="200"/>
      <c r="H36" s="200"/>
    </row>
    <row r="37" spans="1:8" ht="12.6" customHeight="1">
      <c r="A37" s="83">
        <v>21</v>
      </c>
      <c r="B37" s="191">
        <f>IF(A37&gt;C9,0,SUM(C293:C304)*($C$6/$C$7))</f>
        <v>0</v>
      </c>
      <c r="C37" s="216">
        <f>IF(A37&gt;C9,0,(E303+K303)*$C$8)</f>
        <v>0</v>
      </c>
      <c r="D37" s="2831">
        <f t="shared" si="0"/>
        <v>0</v>
      </c>
      <c r="E37" s="2831"/>
      <c r="F37" s="200"/>
      <c r="G37" s="200"/>
      <c r="H37" s="200"/>
    </row>
    <row r="38" spans="1:8" ht="12.6" customHeight="1">
      <c r="A38" s="83">
        <v>22</v>
      </c>
      <c r="B38" s="193">
        <f>IF(A38&gt;C9,0,SUM(C294:C305)*($C$6/$C$7))</f>
        <v>0</v>
      </c>
      <c r="C38" s="194">
        <f>IF(A38&gt;C9,0,(E315+K315)*$C$8)</f>
        <v>0</v>
      </c>
      <c r="D38" s="2828">
        <f t="shared" si="0"/>
        <v>0</v>
      </c>
      <c r="E38" s="2828"/>
      <c r="F38" s="200"/>
      <c r="G38" s="200"/>
      <c r="H38" s="200"/>
    </row>
    <row r="39" spans="1:8" ht="12.6" customHeight="1">
      <c r="A39" s="83">
        <v>23</v>
      </c>
      <c r="B39" s="193">
        <f>IF(A39&gt;C9,0,SUM(C295:C306)*($C$6/$C$7))</f>
        <v>0</v>
      </c>
      <c r="C39" s="194">
        <f>IF(A39&gt;C9,0,(E327+K327)*$C$8)</f>
        <v>0</v>
      </c>
      <c r="D39" s="2828">
        <f t="shared" si="0"/>
        <v>0</v>
      </c>
      <c r="E39" s="2828"/>
      <c r="F39" s="200"/>
      <c r="G39" s="200"/>
      <c r="H39" s="200"/>
    </row>
    <row r="40" spans="1:8" ht="12.6" customHeight="1">
      <c r="A40" s="83">
        <v>24</v>
      </c>
      <c r="B40" s="193">
        <f>IF(A40&gt;C9,0,SUM(C296:C307)*($C$6/$C$7))</f>
        <v>0</v>
      </c>
      <c r="C40" s="194">
        <f>IF(A40&gt;C9,0,(E339+K339)*$C$8)</f>
        <v>0</v>
      </c>
      <c r="D40" s="2828">
        <f t="shared" si="0"/>
        <v>0</v>
      </c>
      <c r="E40" s="2828"/>
      <c r="F40" s="200"/>
      <c r="G40" s="200"/>
      <c r="H40" s="200"/>
    </row>
    <row r="41" spans="1:8" ht="12.6" customHeight="1">
      <c r="A41" s="83">
        <v>25</v>
      </c>
      <c r="B41" s="196">
        <f>IF(A41&gt;C9,0,SUM(C297:C308)*($C$6/$C$7))</f>
        <v>0</v>
      </c>
      <c r="C41" s="215">
        <f>IF(A41&gt;C9,0,(E351+K351)*$C$8)</f>
        <v>0</v>
      </c>
      <c r="D41" s="2829">
        <f t="shared" si="0"/>
        <v>0</v>
      </c>
      <c r="E41" s="2829"/>
      <c r="F41" s="200"/>
      <c r="G41" s="200"/>
      <c r="H41" s="200"/>
    </row>
    <row r="42" spans="1:8" ht="12.6" customHeight="1">
      <c r="A42" s="190">
        <v>26</v>
      </c>
      <c r="B42" s="191">
        <f>IF(A42&gt;C9,0,SUM(C298:C309)*($C$6/$C$7))</f>
        <v>0</v>
      </c>
      <c r="C42" s="216">
        <f>IF(A42&gt;C9,0,(E363+K363)*$C$8)</f>
        <v>0</v>
      </c>
      <c r="D42" s="2831">
        <f t="shared" si="0"/>
        <v>0</v>
      </c>
      <c r="E42" s="2831"/>
      <c r="F42" s="200"/>
      <c r="G42" s="200"/>
      <c r="H42" s="200"/>
    </row>
    <row r="43" spans="1:8" ht="12.6" customHeight="1">
      <c r="A43" s="192">
        <v>27</v>
      </c>
      <c r="B43" s="193">
        <f>IF(A43&gt;C9,0,SUM(C299:C310)*($C$6/$C$7))</f>
        <v>0</v>
      </c>
      <c r="C43" s="194">
        <f>IF(A43&gt;C9,0,(E375+K375)*$C$8)</f>
        <v>0</v>
      </c>
      <c r="D43" s="2828">
        <f t="shared" si="0"/>
        <v>0</v>
      </c>
      <c r="E43" s="2828"/>
      <c r="F43" s="200"/>
      <c r="G43" s="200"/>
      <c r="H43" s="200"/>
    </row>
    <row r="44" spans="1:8" ht="12.6" customHeight="1">
      <c r="A44" s="192">
        <v>28</v>
      </c>
      <c r="B44" s="193">
        <f>IF(A44&gt;C9,0,SUM(C300:C311)*($C$6/$C$7))</f>
        <v>0</v>
      </c>
      <c r="C44" s="194">
        <f>IF(A44&gt;C9,0,(E387+K387)*$C$8)</f>
        <v>0</v>
      </c>
      <c r="D44" s="2828">
        <f t="shared" si="0"/>
        <v>0</v>
      </c>
      <c r="E44" s="2828"/>
      <c r="F44" s="200"/>
      <c r="G44" s="200"/>
      <c r="H44" s="200"/>
    </row>
    <row r="45" spans="1:8" ht="12.6" customHeight="1">
      <c r="A45" s="192">
        <v>29</v>
      </c>
      <c r="B45" s="193">
        <f>IF(A45&gt;C9,0,SUM(C301:C312)*($C$6/$C$7))</f>
        <v>0</v>
      </c>
      <c r="C45" s="194">
        <f>IF(A45&gt;C9,0,(E411+K411)*$C$8)</f>
        <v>0</v>
      </c>
      <c r="D45" s="2828">
        <f t="shared" si="0"/>
        <v>0</v>
      </c>
      <c r="E45" s="2828"/>
      <c r="F45" s="200"/>
      <c r="G45" s="200"/>
      <c r="H45" s="200"/>
    </row>
    <row r="46" spans="1:8" ht="12.6" customHeight="1">
      <c r="A46" s="195">
        <v>30</v>
      </c>
      <c r="B46" s="196">
        <f>IF(A46&gt;C9,0,SUM(C302:C313)*($C$6/$C$7))</f>
        <v>0</v>
      </c>
      <c r="C46" s="215">
        <f>IF(A46&gt;C9,0,(E423+K423)*$C$8)</f>
        <v>0</v>
      </c>
      <c r="D46" s="2829">
        <f t="shared" si="0"/>
        <v>0</v>
      </c>
      <c r="E46" s="2829"/>
      <c r="F46" s="200"/>
      <c r="G46" s="200"/>
      <c r="H46" s="200"/>
    </row>
    <row r="47" spans="1:8" ht="12.6" customHeight="1">
      <c r="A47" s="199">
        <v>31</v>
      </c>
      <c r="B47" s="191">
        <f>IF(A47&gt;C9,0,SUM(C303:C314)*($C$6/$C$7))</f>
        <v>0</v>
      </c>
      <c r="C47" s="216">
        <f>IF(A47&gt;C9,0,(E435+K435)*$C$8)</f>
        <v>0</v>
      </c>
      <c r="D47" s="2831">
        <f t="shared" si="0"/>
        <v>0</v>
      </c>
      <c r="E47" s="2831"/>
      <c r="F47" s="200"/>
      <c r="G47" s="200"/>
      <c r="H47" s="200"/>
    </row>
    <row r="48" spans="1:8" ht="12.6" customHeight="1">
      <c r="A48" s="192">
        <v>32</v>
      </c>
      <c r="B48" s="193">
        <f>IF(A48&gt;C9,0,SUM(C304:C315)*($C$6/$C$7))</f>
        <v>0</v>
      </c>
      <c r="C48" s="194">
        <f>IF(A48&gt;C9,0,(E447+K447)*$C$8)</f>
        <v>0</v>
      </c>
      <c r="D48" s="2828">
        <f t="shared" si="0"/>
        <v>0</v>
      </c>
      <c r="E48" s="2828"/>
      <c r="F48" s="200"/>
      <c r="G48" s="200"/>
      <c r="H48" s="200"/>
    </row>
    <row r="49" spans="1:12" ht="12.6" customHeight="1">
      <c r="A49" s="192">
        <v>33</v>
      </c>
      <c r="B49" s="193">
        <f>IF(A49&gt;C9,0,SUM(C305:C316)*($C$6/$C$7))</f>
        <v>0</v>
      </c>
      <c r="C49" s="194">
        <f>IF(A49&gt;C9,0,(E459+K459)*$C$8)</f>
        <v>0</v>
      </c>
      <c r="D49" s="2828">
        <f t="shared" si="0"/>
        <v>0</v>
      </c>
      <c r="E49" s="2828"/>
      <c r="F49" s="200"/>
      <c r="G49" s="200"/>
      <c r="H49" s="200"/>
    </row>
    <row r="50" spans="1:12" ht="12.6" customHeight="1">
      <c r="A50" s="192">
        <v>34</v>
      </c>
      <c r="B50" s="193">
        <f>IF(A50&gt;C9,0,SUM(C306:C317)*($C$6/$C$7))</f>
        <v>0</v>
      </c>
      <c r="C50" s="194">
        <f>IF(A50&gt;C9,0,(E471+K471)*$C$8)</f>
        <v>0</v>
      </c>
      <c r="D50" s="2828">
        <f t="shared" si="0"/>
        <v>0</v>
      </c>
      <c r="E50" s="2828"/>
      <c r="F50" s="200"/>
      <c r="G50" s="200"/>
      <c r="H50" s="200"/>
    </row>
    <row r="51" spans="1:12" ht="12.6" customHeight="1">
      <c r="A51" s="195">
        <v>35</v>
      </c>
      <c r="B51" s="196">
        <f>IF(A51&gt;C9,0,SUM(C307:C318)*($C$6/$C$7))</f>
        <v>0</v>
      </c>
      <c r="C51" s="215">
        <f>IF(A51&gt;C9,0,(E483+K483)*$C$8)</f>
        <v>0</v>
      </c>
      <c r="D51" s="2829">
        <f t="shared" si="0"/>
        <v>0</v>
      </c>
      <c r="E51" s="2829"/>
      <c r="F51" s="200"/>
      <c r="G51" s="200"/>
      <c r="H51" s="200"/>
    </row>
    <row r="52" spans="1:12" ht="12.6" customHeight="1">
      <c r="A52" s="199">
        <v>36</v>
      </c>
      <c r="B52" s="191">
        <f>IF(A52&gt;C9,0,SUM(C308:C319)*($C$6/$C$7))</f>
        <v>0</v>
      </c>
      <c r="C52" s="216">
        <f>IF(A52&gt;C9,0,(E495+K495)*$C$8)</f>
        <v>0</v>
      </c>
      <c r="D52" s="2831">
        <f t="shared" si="0"/>
        <v>0</v>
      </c>
      <c r="E52" s="2831"/>
      <c r="F52" s="200"/>
      <c r="G52" s="200"/>
      <c r="H52" s="200"/>
    </row>
    <row r="53" spans="1:12" ht="12.6" customHeight="1">
      <c r="A53" s="192">
        <v>37</v>
      </c>
      <c r="B53" s="193">
        <f>IF(A53&gt;C9,0,SUM(C309:C320)*($C$6/$C$7))</f>
        <v>0</v>
      </c>
      <c r="C53" s="194">
        <f>IF(A53&gt;C9,0,(E507+K507)*$C$8)</f>
        <v>0</v>
      </c>
      <c r="D53" s="2828">
        <f t="shared" si="0"/>
        <v>0</v>
      </c>
      <c r="E53" s="2828"/>
      <c r="F53" s="200"/>
      <c r="G53" s="200"/>
      <c r="H53" s="200"/>
    </row>
    <row r="54" spans="1:12" ht="12.6" customHeight="1">
      <c r="A54" s="192">
        <v>38</v>
      </c>
      <c r="B54" s="193">
        <f>IF(A54&gt;C9,0,SUM(C310:C321)*($C$6/$C$7))</f>
        <v>0</v>
      </c>
      <c r="C54" s="194">
        <f>IF(A54&gt;C9,0,(E519+K519)*$C$8)</f>
        <v>0</v>
      </c>
      <c r="D54" s="2828">
        <f t="shared" si="0"/>
        <v>0</v>
      </c>
      <c r="E54" s="2828"/>
      <c r="F54" s="200"/>
      <c r="G54" s="200"/>
      <c r="H54" s="200"/>
    </row>
    <row r="55" spans="1:12" ht="12.6" customHeight="1">
      <c r="A55" s="192">
        <v>39</v>
      </c>
      <c r="B55" s="193">
        <f>IF(A55&gt;C9,0,SUM(C311:C322)*($C$6/$C$7))</f>
        <v>0</v>
      </c>
      <c r="C55" s="194">
        <f>IF(A55&gt;C9,0,(E531+K531)*$C$8)</f>
        <v>0</v>
      </c>
      <c r="D55" s="2828">
        <f t="shared" si="0"/>
        <v>0</v>
      </c>
      <c r="E55" s="2828"/>
      <c r="F55" s="200"/>
      <c r="G55" s="200"/>
      <c r="H55" s="200"/>
    </row>
    <row r="56" spans="1:12" ht="12.6" customHeight="1">
      <c r="A56" s="195">
        <v>40</v>
      </c>
      <c r="B56" s="196">
        <f>IF(A56&gt;C9,0,SUM(C312:C323)*($C$6/$C$7))</f>
        <v>0</v>
      </c>
      <c r="C56" s="215">
        <f>IF(A56&gt;C9,0,(E543+K543)*$C$8)</f>
        <v>0</v>
      </c>
      <c r="D56" s="2829">
        <f t="shared" si="0"/>
        <v>0</v>
      </c>
      <c r="E56" s="2829"/>
      <c r="F56" s="200"/>
      <c r="G56" s="200"/>
      <c r="H56" s="200"/>
    </row>
    <row r="57" spans="1:12" ht="3" customHeight="1">
      <c r="A57" s="200"/>
      <c r="B57" s="200"/>
      <c r="C57" s="200"/>
      <c r="D57" s="200"/>
      <c r="E57" s="200"/>
      <c r="F57" s="200"/>
      <c r="G57" s="200"/>
      <c r="H57" s="200"/>
    </row>
    <row r="58" spans="1:12" ht="13.15" customHeight="1">
      <c r="A58" s="2827" t="e">
        <f>CONCATENATE(#REF!," ",#REF!,", ",#REF!,", ",#REF!," County")</f>
        <v>#REF!</v>
      </c>
      <c r="B58" s="2827"/>
      <c r="C58" s="2827"/>
      <c r="D58" s="2827"/>
      <c r="E58" s="2827"/>
      <c r="F58" s="2827"/>
      <c r="G58" s="2827" t="e">
        <f>CONCATENATE(#REF!," ",#REF!,", ",#REF!,", ",#REF!," County")</f>
        <v>#REF!</v>
      </c>
      <c r="H58" s="2827"/>
      <c r="I58" s="2827"/>
      <c r="J58" s="2827"/>
      <c r="K58" s="2827"/>
      <c r="L58" s="2827"/>
    </row>
    <row r="59" spans="1:12" ht="15">
      <c r="A59" s="2824" t="s">
        <v>2487</v>
      </c>
      <c r="B59" s="2824"/>
      <c r="C59" s="2824"/>
      <c r="D59" s="2824"/>
      <c r="E59" s="2824"/>
      <c r="F59" s="2824"/>
      <c r="G59" s="2824" t="s">
        <v>2487</v>
      </c>
      <c r="H59" s="2824"/>
      <c r="I59" s="2824"/>
      <c r="J59" s="2824"/>
      <c r="K59" s="2824"/>
      <c r="L59" s="2824"/>
    </row>
    <row r="60" spans="1:12" ht="6" customHeight="1">
      <c r="C60" s="198"/>
      <c r="D60" s="198"/>
      <c r="I60" s="198"/>
      <c r="J60" s="198"/>
    </row>
    <row r="61" spans="1:12">
      <c r="A61" s="201" t="s">
        <v>2488</v>
      </c>
      <c r="B61" s="202" t="s">
        <v>2489</v>
      </c>
      <c r="C61" s="202" t="s">
        <v>1306</v>
      </c>
      <c r="D61" s="202" t="s">
        <v>2490</v>
      </c>
      <c r="E61" s="201" t="s">
        <v>2491</v>
      </c>
      <c r="F61" s="230" t="s">
        <v>2496</v>
      </c>
      <c r="G61" s="201" t="s">
        <v>2488</v>
      </c>
      <c r="H61" s="202" t="s">
        <v>2489</v>
      </c>
      <c r="I61" s="202" t="s">
        <v>1306</v>
      </c>
      <c r="J61" s="202" t="s">
        <v>2490</v>
      </c>
      <c r="K61" s="201" t="s">
        <v>2491</v>
      </c>
      <c r="L61" s="230" t="s">
        <v>2496</v>
      </c>
    </row>
    <row r="62" spans="1:12" ht="3.6" customHeight="1">
      <c r="A62" s="204"/>
      <c r="B62" s="120"/>
      <c r="C62" s="120"/>
      <c r="D62" s="120"/>
      <c r="E62" s="120"/>
      <c r="F62" s="83"/>
      <c r="G62" s="204"/>
      <c r="H62" s="120"/>
      <c r="I62" s="120"/>
      <c r="J62" s="120"/>
      <c r="K62" s="120"/>
      <c r="L62" s="83"/>
    </row>
    <row r="63" spans="1:12">
      <c r="A63" s="205" t="s">
        <v>2492</v>
      </c>
      <c r="B63" s="206"/>
      <c r="C63" s="206"/>
      <c r="D63" s="206"/>
      <c r="E63" s="207">
        <f>IF($C$5&gt;1500000,$D$5,$C$5)</f>
        <v>0</v>
      </c>
      <c r="F63" s="83"/>
      <c r="G63" s="205" t="s">
        <v>2492</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149999999999999" customHeight="1">
      <c r="A1" s="2832" t="e">
        <f>CONCATENATE("PART III C  - HUD INSURED LOAN","  -  ",#REF!," ",#REF!,", ",#REF!,", ",#REF!," County")</f>
        <v>#REF!</v>
      </c>
      <c r="B1" s="2833"/>
      <c r="C1" s="2833"/>
      <c r="D1" s="2833"/>
      <c r="E1" s="2833"/>
      <c r="F1" s="2834"/>
      <c r="G1" s="168"/>
      <c r="H1" s="168"/>
      <c r="I1" s="168"/>
      <c r="J1" s="168"/>
      <c r="K1" s="168"/>
      <c r="L1" s="168"/>
      <c r="M1" s="168"/>
      <c r="N1" s="168"/>
      <c r="O1" s="168"/>
      <c r="P1" s="168"/>
      <c r="Q1" s="168"/>
    </row>
    <row r="2" spans="1:17">
      <c r="A2" s="14"/>
      <c r="B2" s="188"/>
      <c r="C2" s="188"/>
      <c r="D2" s="188"/>
    </row>
    <row r="3" spans="1:17" ht="15.6" customHeight="1">
      <c r="A3" s="2825" t="s">
        <v>220</v>
      </c>
      <c r="B3" s="2825"/>
      <c r="C3" s="2825"/>
      <c r="D3" s="2825"/>
      <c r="E3" s="2825"/>
      <c r="F3" s="2825"/>
      <c r="G3" s="233"/>
      <c r="H3" s="233"/>
    </row>
    <row r="4" spans="1:17">
      <c r="A4" s="14"/>
      <c r="B4" s="188"/>
      <c r="C4" s="188"/>
      <c r="D4" s="188"/>
    </row>
    <row r="5" spans="1:17" ht="13.15" customHeight="1">
      <c r="A5" s="28" t="s">
        <v>2271</v>
      </c>
      <c r="D5" s="228"/>
      <c r="E5" s="2836" t="s">
        <v>965</v>
      </c>
      <c r="F5" s="2837"/>
      <c r="G5" s="165"/>
    </row>
    <row r="6" spans="1:17">
      <c r="E6" s="2837"/>
      <c r="F6" s="2837"/>
      <c r="G6" s="165"/>
    </row>
    <row r="7" spans="1:17">
      <c r="A7" s="28" t="s">
        <v>2479</v>
      </c>
      <c r="C7" s="28" t="s">
        <v>2480</v>
      </c>
      <c r="D7" s="229"/>
      <c r="E7" s="2837"/>
      <c r="F7" s="2837"/>
      <c r="G7" s="165"/>
    </row>
    <row r="8" spans="1:17">
      <c r="C8" s="28" t="s">
        <v>2481</v>
      </c>
      <c r="D8" s="229"/>
      <c r="E8" s="2837"/>
      <c r="F8" s="2837"/>
      <c r="G8" s="165"/>
    </row>
    <row r="9" spans="1:17">
      <c r="C9" s="28" t="s">
        <v>2482</v>
      </c>
      <c r="D9" s="229"/>
      <c r="E9" s="2837"/>
      <c r="F9" s="2837"/>
      <c r="G9" s="165"/>
    </row>
    <row r="10" spans="1:17">
      <c r="C10" s="28" t="s">
        <v>2495</v>
      </c>
      <c r="D10" s="234">
        <f>D7+D8+D9</f>
        <v>0</v>
      </c>
      <c r="E10" s="2837"/>
      <c r="F10" s="2837"/>
      <c r="G10" s="165"/>
    </row>
    <row r="11" spans="1:17">
      <c r="F11" s="165"/>
      <c r="G11" s="165"/>
    </row>
    <row r="12" spans="1:17">
      <c r="A12" s="28" t="s">
        <v>1729</v>
      </c>
      <c r="D12" s="227"/>
      <c r="E12" s="28" t="s">
        <v>2150</v>
      </c>
      <c r="F12" s="165"/>
      <c r="G12" s="165"/>
    </row>
    <row r="13" spans="1:17">
      <c r="D13" s="198"/>
      <c r="F13" s="165"/>
      <c r="G13" s="165"/>
    </row>
    <row r="14" spans="1:17">
      <c r="A14" s="28" t="s">
        <v>2484</v>
      </c>
      <c r="D14" s="226"/>
      <c r="E14" s="28" t="s">
        <v>2485</v>
      </c>
      <c r="F14" s="235"/>
    </row>
    <row r="15" spans="1:17">
      <c r="D15" s="218"/>
      <c r="F15" s="235"/>
    </row>
    <row r="16" spans="1:17">
      <c r="A16" s="28" t="s">
        <v>2486</v>
      </c>
      <c r="D16" s="226"/>
      <c r="E16" s="28" t="s">
        <v>2485</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2826" t="s">
        <v>1730</v>
      </c>
      <c r="B24" s="2826"/>
      <c r="C24" s="2826"/>
      <c r="D24" s="2826"/>
      <c r="E24" s="2826"/>
      <c r="F24" s="2826"/>
      <c r="J24" s="237"/>
    </row>
    <row r="25" spans="1:10">
      <c r="C25" s="198"/>
      <c r="J25" s="237"/>
    </row>
    <row r="26" spans="1:10">
      <c r="A26" s="107"/>
      <c r="B26" s="83"/>
      <c r="C26" s="2838" t="s">
        <v>2270</v>
      </c>
      <c r="D26" s="232"/>
      <c r="E26" s="83"/>
      <c r="F26" s="2838" t="s">
        <v>2270</v>
      </c>
      <c r="J26" s="237"/>
    </row>
    <row r="27" spans="1:10">
      <c r="A27" s="238" t="s">
        <v>2496</v>
      </c>
      <c r="B27" s="74" t="s">
        <v>1036</v>
      </c>
      <c r="C27" s="2839"/>
      <c r="D27" s="239" t="s">
        <v>2496</v>
      </c>
      <c r="E27" s="74" t="s">
        <v>1036</v>
      </c>
      <c r="F27" s="2839"/>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2827" t="e">
        <f>CONCATENATE(#REF!," ",#REF!,", ",#REF!,", ",#REF!," County")</f>
        <v>#REF!</v>
      </c>
      <c r="B50" s="2827"/>
      <c r="C50" s="2827"/>
      <c r="D50" s="2827"/>
      <c r="E50" s="2827"/>
      <c r="F50" s="2827"/>
      <c r="G50" s="223"/>
      <c r="H50" s="223"/>
    </row>
    <row r="51" spans="1:10" ht="15">
      <c r="A51" s="2824" t="s">
        <v>2487</v>
      </c>
      <c r="B51" s="2824"/>
      <c r="C51" s="2824"/>
      <c r="D51" s="2824"/>
      <c r="E51" s="2824"/>
      <c r="F51" s="2824"/>
      <c r="G51" s="249"/>
      <c r="H51" s="249"/>
      <c r="I51" s="249"/>
      <c r="J51" s="249"/>
    </row>
    <row r="52" spans="1:10" ht="5.45" customHeight="1">
      <c r="C52" s="198"/>
      <c r="D52" s="198"/>
      <c r="G52" s="203"/>
      <c r="H52" s="197"/>
      <c r="I52" s="203"/>
    </row>
    <row r="53" spans="1:10">
      <c r="A53" s="201" t="s">
        <v>2488</v>
      </c>
      <c r="B53" s="201" t="s">
        <v>2489</v>
      </c>
      <c r="C53" s="201" t="s">
        <v>1306</v>
      </c>
      <c r="D53" s="201" t="s">
        <v>2490</v>
      </c>
      <c r="E53" s="201" t="s">
        <v>2491</v>
      </c>
      <c r="F53" s="230" t="s">
        <v>2496</v>
      </c>
      <c r="G53" s="250"/>
      <c r="H53" s="250"/>
      <c r="I53" s="250"/>
    </row>
    <row r="54" spans="1:10" ht="3.6" customHeight="1">
      <c r="F54" s="83"/>
      <c r="G54" s="203"/>
      <c r="H54" s="197"/>
      <c r="I54" s="203"/>
    </row>
    <row r="55" spans="1:10">
      <c r="A55" s="28" t="s">
        <v>2492</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79" zoomScaleNormal="100" workbookViewId="0">
      <selection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2840" t="str">
        <f>CONCATENATE("PART FOUR -  USES OF FUNDS","  -  ",'Part I-Project Information'!$O$6," ",'Part I-Project Information'!$F$34,", ",'Part I-Project Information'!F38,", ",'Part I-Project Information'!J39," County")</f>
        <v>PART FOUR -  USES OF FUNDS  -  2018-013 Tindall Fields III, Macon, Bibb County</v>
      </c>
      <c r="B1" s="2841"/>
      <c r="C1" s="2841"/>
      <c r="D1" s="2841"/>
      <c r="E1" s="2841"/>
      <c r="F1" s="2841"/>
      <c r="G1" s="2841"/>
      <c r="H1" s="2841"/>
      <c r="I1" s="2841"/>
      <c r="J1" s="2841"/>
      <c r="K1" s="2841"/>
      <c r="L1" s="2841"/>
      <c r="M1" s="2841"/>
      <c r="N1" s="2841"/>
      <c r="O1" s="2841"/>
      <c r="P1" s="2841"/>
      <c r="Q1" s="2841"/>
      <c r="R1" s="2841"/>
      <c r="S1" s="2841"/>
      <c r="T1" s="2841"/>
      <c r="W1" s="2842" t="str">
        <f>A1</f>
        <v>PART FOUR -  USES OF FUNDS  -  2018-013 Tindall Fields III, Macon, Bibb County</v>
      </c>
      <c r="X1" s="2842"/>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622</v>
      </c>
      <c r="B5" s="437" t="s">
        <v>909</v>
      </c>
      <c r="H5" s="504"/>
      <c r="I5" s="504"/>
      <c r="J5" s="2843" t="s">
        <v>273</v>
      </c>
      <c r="K5" s="2844"/>
      <c r="L5" s="360"/>
      <c r="M5" s="2847" t="s">
        <v>494</v>
      </c>
      <c r="N5" s="2848"/>
      <c r="P5" s="2843" t="s">
        <v>274</v>
      </c>
      <c r="Q5" s="2844"/>
      <c r="S5" s="2843" t="s">
        <v>275</v>
      </c>
      <c r="T5" s="2844"/>
      <c r="V5" s="438" t="str">
        <f>B5</f>
        <v>DEVELOPMENT BUDGET</v>
      </c>
    </row>
    <row r="6" spans="1:24" s="305" customFormat="1" ht="19.5" customHeight="1" thickBot="1">
      <c r="G6" s="2851" t="s">
        <v>102</v>
      </c>
      <c r="H6" s="2852"/>
      <c r="J6" s="2845"/>
      <c r="K6" s="2846"/>
      <c r="L6" s="360"/>
      <c r="M6" s="2849"/>
      <c r="N6" s="2850"/>
      <c r="P6" s="2845"/>
      <c r="Q6" s="2846"/>
      <c r="S6" s="2845"/>
      <c r="T6" s="2846"/>
      <c r="V6" s="347" t="s">
        <v>2700</v>
      </c>
      <c r="X6" s="347"/>
    </row>
    <row r="7" spans="1:24" s="305" customFormat="1" ht="12" customHeight="1">
      <c r="B7" s="307" t="s">
        <v>103</v>
      </c>
      <c r="O7" s="501" t="str">
        <f>B7</f>
        <v>PRE-DEVELOPMENT COSTS</v>
      </c>
      <c r="W7" s="305" t="str">
        <f>B7</f>
        <v>PRE-DEVELOPMENT COSTS</v>
      </c>
    </row>
    <row r="8" spans="1:24" s="305" customFormat="1" ht="12.6" customHeight="1">
      <c r="B8" s="305" t="s">
        <v>2016</v>
      </c>
      <c r="G8" s="2744">
        <v>10395</v>
      </c>
      <c r="H8" s="2745"/>
      <c r="J8" s="2744">
        <v>10395</v>
      </c>
      <c r="K8" s="2745"/>
      <c r="L8" s="1580"/>
      <c r="M8" s="2744"/>
      <c r="N8" s="2745"/>
      <c r="P8" s="2744"/>
      <c r="Q8" s="2745"/>
      <c r="S8" s="2744"/>
      <c r="T8" s="2745"/>
      <c r="V8" s="2343"/>
      <c r="W8" s="2853"/>
      <c r="X8" s="2854"/>
    </row>
    <row r="9" spans="1:24" s="305" customFormat="1" ht="12.6" customHeight="1">
      <c r="B9" s="305" t="s">
        <v>461</v>
      </c>
      <c r="G9" s="2755">
        <v>10250</v>
      </c>
      <c r="H9" s="2756"/>
      <c r="J9" s="2755">
        <v>10250</v>
      </c>
      <c r="K9" s="2756"/>
      <c r="L9" s="1580"/>
      <c r="M9" s="2755"/>
      <c r="N9" s="2756"/>
      <c r="P9" s="2755"/>
      <c r="Q9" s="2756"/>
      <c r="S9" s="2755"/>
      <c r="T9" s="2756"/>
      <c r="V9" s="2343"/>
      <c r="W9" s="2853"/>
      <c r="X9" s="2854"/>
    </row>
    <row r="10" spans="1:24" s="305" customFormat="1" ht="12.6" customHeight="1">
      <c r="B10" s="305" t="s">
        <v>491</v>
      </c>
      <c r="G10" s="2755">
        <v>10000</v>
      </c>
      <c r="H10" s="2756"/>
      <c r="J10" s="2755">
        <v>10000</v>
      </c>
      <c r="K10" s="2756"/>
      <c r="L10" s="1580"/>
      <c r="M10" s="2755"/>
      <c r="N10" s="2756"/>
      <c r="P10" s="2755"/>
      <c r="Q10" s="2756"/>
      <c r="S10" s="2755"/>
      <c r="T10" s="2756"/>
      <c r="V10" s="2343"/>
      <c r="W10" s="2853"/>
      <c r="X10" s="2854"/>
    </row>
    <row r="11" spans="1:24" s="305" customFormat="1" ht="12.6" customHeight="1">
      <c r="B11" s="305" t="s">
        <v>492</v>
      </c>
      <c r="G11" s="2755">
        <v>5000</v>
      </c>
      <c r="H11" s="2756"/>
      <c r="J11" s="2755">
        <v>5000</v>
      </c>
      <c r="K11" s="2756"/>
      <c r="L11" s="1580"/>
      <c r="M11" s="2755"/>
      <c r="N11" s="2756"/>
      <c r="P11" s="2755"/>
      <c r="Q11" s="2756"/>
      <c r="S11" s="2755"/>
      <c r="T11" s="2756"/>
      <c r="V11" s="2343"/>
      <c r="W11" s="2853"/>
      <c r="X11" s="2854"/>
    </row>
    <row r="12" spans="1:24" s="305" customFormat="1" ht="12.6" customHeight="1">
      <c r="B12" s="305" t="s">
        <v>2516</v>
      </c>
      <c r="G12" s="2755">
        <v>8000</v>
      </c>
      <c r="H12" s="2756"/>
      <c r="J12" s="2755">
        <v>8000</v>
      </c>
      <c r="K12" s="2756"/>
      <c r="L12" s="1580"/>
      <c r="M12" s="2755"/>
      <c r="N12" s="2756"/>
      <c r="P12" s="2755"/>
      <c r="Q12" s="2756"/>
      <c r="S12" s="2755"/>
      <c r="T12" s="2756"/>
      <c r="V12" s="2343"/>
      <c r="W12" s="2853"/>
      <c r="X12" s="2854"/>
    </row>
    <row r="13" spans="1:24" s="305" customFormat="1" ht="12.6" customHeight="1">
      <c r="B13" s="305" t="s">
        <v>192</v>
      </c>
      <c r="G13" s="2755">
        <v>5000</v>
      </c>
      <c r="H13" s="2756"/>
      <c r="J13" s="2755">
        <v>5000</v>
      </c>
      <c r="K13" s="2756"/>
      <c r="L13" s="1580"/>
      <c r="M13" s="2755"/>
      <c r="N13" s="2756"/>
      <c r="P13" s="2755"/>
      <c r="Q13" s="2756"/>
      <c r="S13" s="2755"/>
      <c r="T13" s="2756"/>
      <c r="V13" s="2343"/>
      <c r="W13" s="2853"/>
      <c r="X13" s="2854"/>
    </row>
    <row r="14" spans="1:24" s="305" customFormat="1" ht="12.6" customHeight="1">
      <c r="A14" s="387" t="str">
        <f>IF(AND(G14&gt;0,OR(C14="",C14="&lt;Enter detailed description here; use Comments section if needed&gt;")),"X","")</f>
        <v/>
      </c>
      <c r="B14" s="305" t="s">
        <v>749</v>
      </c>
      <c r="C14" s="2855" t="s">
        <v>3738</v>
      </c>
      <c r="D14" s="2855"/>
      <c r="E14" s="2855"/>
      <c r="F14" s="2856"/>
      <c r="G14" s="2755"/>
      <c r="H14" s="2756"/>
      <c r="J14" s="2755"/>
      <c r="K14" s="2756"/>
      <c r="L14" s="1580"/>
      <c r="M14" s="2755"/>
      <c r="N14" s="2756"/>
      <c r="P14" s="2755"/>
      <c r="Q14" s="2756"/>
      <c r="S14" s="2755"/>
      <c r="T14" s="2756"/>
      <c r="U14" s="386" t="str">
        <f>IF(AND(G14&gt;0,OR(C14="",C14="&lt;Enter detailed description here; use Comments section if needed&gt;")),"NO DESCRIPTION PROVIDED - please enter detailed description in Other box at left; use Comments section below if needed.","")</f>
        <v/>
      </c>
      <c r="V14" s="2344"/>
      <c r="W14" s="2853"/>
      <c r="X14" s="2854"/>
    </row>
    <row r="15" spans="1:24" s="305" customFormat="1" ht="12.6" customHeight="1">
      <c r="A15" s="387" t="str">
        <f>IF(AND(G15&gt;0,OR(C15="",C15="&lt;Enter detailed description here; use Comments section if needed&gt;")),"X","")</f>
        <v/>
      </c>
      <c r="B15" s="305" t="s">
        <v>749</v>
      </c>
      <c r="C15" s="2855" t="s">
        <v>3738</v>
      </c>
      <c r="D15" s="2855"/>
      <c r="E15" s="2855"/>
      <c r="F15" s="2856"/>
      <c r="G15" s="2755"/>
      <c r="H15" s="2756"/>
      <c r="J15" s="2755"/>
      <c r="K15" s="2756"/>
      <c r="L15" s="1580"/>
      <c r="M15" s="2755"/>
      <c r="N15" s="2756"/>
      <c r="P15" s="2755"/>
      <c r="Q15" s="2756"/>
      <c r="S15" s="2755"/>
      <c r="T15" s="2756"/>
      <c r="U15" s="386" t="str">
        <f>IF(AND(G15&gt;0,OR(C15="",C15="&lt;Enter detailed description here; use Comments section if needed&gt;")),"NO DESCRIPTION PROVIDED - please enter detailed description in Other box at left; use Comments section below if needed.","")</f>
        <v/>
      </c>
      <c r="V15" s="2344"/>
      <c r="W15" s="2853"/>
      <c r="X15" s="2854"/>
    </row>
    <row r="16" spans="1:24" s="305" customFormat="1" ht="12.6" customHeight="1" thickBot="1">
      <c r="A16" s="387" t="str">
        <f>IF(AND(G16&gt;0,OR(C16="",C16="&lt;Enter detailed description here; use Comments section if needed&gt;")),"X","")</f>
        <v/>
      </c>
      <c r="B16" s="305" t="s">
        <v>749</v>
      </c>
      <c r="C16" s="2855" t="s">
        <v>3738</v>
      </c>
      <c r="D16" s="2855"/>
      <c r="E16" s="2855"/>
      <c r="F16" s="2856"/>
      <c r="G16" s="2860"/>
      <c r="H16" s="2861"/>
      <c r="J16" s="2860"/>
      <c r="K16" s="2861"/>
      <c r="L16" s="1580"/>
      <c r="M16" s="2860"/>
      <c r="N16" s="2861"/>
      <c r="P16" s="2860"/>
      <c r="Q16" s="2861"/>
      <c r="S16" s="2860"/>
      <c r="T16" s="2861"/>
      <c r="U16" s="386" t="str">
        <f>IF(AND(G16&gt;0,OR(C16="",C16="&lt;Enter detailed description here; use Comments section if needed&gt;")),"NO DESCRIPTION PROVIDED - please enter detailed description in Other box at left; use Comments section below if needed.","")</f>
        <v/>
      </c>
      <c r="V16" s="2344"/>
      <c r="W16" s="2892"/>
      <c r="X16" s="2893"/>
    </row>
    <row r="17" spans="2:24" s="305" customFormat="1" ht="12.6" customHeight="1" thickTop="1">
      <c r="F17" s="361" t="s">
        <v>193</v>
      </c>
      <c r="G17" s="2857">
        <f>SUM(G8:H16)</f>
        <v>48645</v>
      </c>
      <c r="H17" s="2858"/>
      <c r="J17" s="2857">
        <f>SUM(J8:K16)</f>
        <v>48645</v>
      </c>
      <c r="K17" s="2859"/>
      <c r="L17" s="1580"/>
      <c r="M17" s="2857">
        <f>SUM(M8:N16)</f>
        <v>0</v>
      </c>
      <c r="N17" s="2858"/>
      <c r="P17" s="2857">
        <f>SUM(P8:Q16)</f>
        <v>0</v>
      </c>
      <c r="Q17" s="2858"/>
      <c r="S17" s="2857">
        <f>SUM(S8:T16)</f>
        <v>0</v>
      </c>
      <c r="T17" s="2858"/>
      <c r="V17" s="2345">
        <f>SUM(V8:V16)</f>
        <v>0</v>
      </c>
      <c r="W17" s="2903"/>
      <c r="X17" s="2904"/>
    </row>
    <row r="18" spans="2:24" s="305" customFormat="1" ht="12" customHeight="1">
      <c r="B18" s="307" t="s">
        <v>2213</v>
      </c>
      <c r="J18" s="360"/>
      <c r="K18" s="360"/>
      <c r="M18" s="360"/>
      <c r="N18" s="360"/>
      <c r="O18" s="362" t="str">
        <f>B18</f>
        <v>ACQUISITION</v>
      </c>
      <c r="P18" s="360"/>
      <c r="Q18" s="360"/>
      <c r="S18" s="360"/>
      <c r="T18" s="360"/>
      <c r="V18" s="1176"/>
      <c r="W18" s="305" t="str">
        <f>B18</f>
        <v>ACQUISITION</v>
      </c>
    </row>
    <row r="19" spans="2:24" s="305" customFormat="1" ht="12.6" customHeight="1">
      <c r="B19" s="305" t="s">
        <v>2214</v>
      </c>
      <c r="G19" s="2744"/>
      <c r="H19" s="2745"/>
      <c r="J19" s="363"/>
      <c r="K19" s="360"/>
      <c r="L19" s="363"/>
      <c r="M19" s="363"/>
      <c r="N19" s="360"/>
      <c r="P19" s="363"/>
      <c r="Q19" s="360"/>
      <c r="S19" s="2744"/>
      <c r="T19" s="2745"/>
      <c r="V19" s="2343"/>
      <c r="W19" s="2853"/>
      <c r="X19" s="2854"/>
    </row>
    <row r="20" spans="2:24" s="305" customFormat="1" ht="12.6" customHeight="1">
      <c r="B20" s="305" t="s">
        <v>1129</v>
      </c>
      <c r="G20" s="2755"/>
      <c r="H20" s="2756"/>
      <c r="J20" s="363"/>
      <c r="K20" s="360"/>
      <c r="L20" s="363"/>
      <c r="M20" s="363"/>
      <c r="N20" s="360"/>
      <c r="P20" s="363"/>
      <c r="Q20" s="360"/>
      <c r="S20" s="2755"/>
      <c r="T20" s="2756"/>
      <c r="V20" s="2343"/>
      <c r="W20" s="2853"/>
      <c r="X20" s="2854"/>
    </row>
    <row r="21" spans="2:24" s="305" customFormat="1" ht="12.6" customHeight="1">
      <c r="B21" s="305" t="s">
        <v>462</v>
      </c>
      <c r="G21" s="2755"/>
      <c r="H21" s="2756"/>
      <c r="J21" s="363"/>
      <c r="K21" s="360"/>
      <c r="L21" s="363"/>
      <c r="M21" s="2744"/>
      <c r="N21" s="2745"/>
      <c r="P21" s="363"/>
      <c r="Q21" s="360"/>
      <c r="S21" s="2755"/>
      <c r="T21" s="2756"/>
      <c r="V21" s="2343"/>
      <c r="W21" s="2853"/>
      <c r="X21" s="2854"/>
    </row>
    <row r="22" spans="2:24" s="305" customFormat="1" ht="12.6" customHeight="1" thickBot="1">
      <c r="B22" s="305" t="s">
        <v>432</v>
      </c>
      <c r="G22" s="2860"/>
      <c r="H22" s="2861"/>
      <c r="J22" s="363"/>
      <c r="K22" s="360"/>
      <c r="L22" s="363"/>
      <c r="M22" s="2860"/>
      <c r="N22" s="2861"/>
      <c r="P22" s="363"/>
      <c r="Q22" s="360"/>
      <c r="S22" s="2860"/>
      <c r="T22" s="2861"/>
      <c r="V22" s="2343"/>
      <c r="W22" s="2892"/>
      <c r="X22" s="2893"/>
    </row>
    <row r="23" spans="2:24" s="305" customFormat="1" ht="12.6" customHeight="1" thickTop="1">
      <c r="F23" s="361" t="s">
        <v>193</v>
      </c>
      <c r="G23" s="2857">
        <f>SUM(G19:H22)</f>
        <v>0</v>
      </c>
      <c r="H23" s="2858"/>
      <c r="J23" s="363"/>
      <c r="K23" s="360"/>
      <c r="L23" s="363"/>
      <c r="M23" s="2857">
        <f>SUM(M21:N22)</f>
        <v>0</v>
      </c>
      <c r="N23" s="2858"/>
      <c r="P23" s="363"/>
      <c r="Q23" s="360"/>
      <c r="S23" s="2857">
        <f>SUM(S19:T22)</f>
        <v>0</v>
      </c>
      <c r="T23" s="2858"/>
      <c r="V23" s="2345">
        <f>SUM(V19:V22)</f>
        <v>0</v>
      </c>
      <c r="W23" s="2903"/>
      <c r="X23" s="2904"/>
    </row>
    <row r="24" spans="2:24" s="305" customFormat="1" ht="12" customHeight="1">
      <c r="B24" s="307" t="s">
        <v>1130</v>
      </c>
      <c r="J24" s="363"/>
      <c r="K24" s="360"/>
      <c r="M24" s="363"/>
      <c r="N24" s="360"/>
      <c r="O24" s="362" t="str">
        <f>B24</f>
        <v>LAND IMPROVEMENTS</v>
      </c>
      <c r="P24" s="363"/>
      <c r="Q24" s="360"/>
      <c r="S24" s="363"/>
      <c r="T24" s="360"/>
      <c r="V24" s="1176"/>
      <c r="W24" s="305" t="str">
        <f>B24</f>
        <v>LAND IMPROVEMENTS</v>
      </c>
    </row>
    <row r="25" spans="2:24" s="305" customFormat="1" ht="12.6" customHeight="1">
      <c r="B25" s="305" t="s">
        <v>1131</v>
      </c>
      <c r="E25" s="901" t="s">
        <v>3754</v>
      </c>
      <c r="F25" s="481">
        <f>IF('Part I-Project Information'!$O$37="","",G25/'Part I-Project Information'!$O$37)</f>
        <v>130975.7694826457</v>
      </c>
      <c r="G25" s="2744">
        <v>600000</v>
      </c>
      <c r="H25" s="2745"/>
      <c r="J25" s="2744">
        <v>550000</v>
      </c>
      <c r="K25" s="2745"/>
      <c r="L25" s="1580"/>
      <c r="M25" s="2862"/>
      <c r="N25" s="2863"/>
      <c r="P25" s="2862"/>
      <c r="Q25" s="2863"/>
      <c r="S25" s="2744">
        <v>50000</v>
      </c>
      <c r="T25" s="2745"/>
      <c r="V25" s="2343"/>
      <c r="W25" s="2853"/>
      <c r="X25" s="2854"/>
    </row>
    <row r="26" spans="2:24" s="305" customFormat="1" ht="12.6" customHeight="1" thickBot="1">
      <c r="B26" s="305" t="s">
        <v>1132</v>
      </c>
      <c r="G26" s="2860"/>
      <c r="H26" s="2861"/>
      <c r="J26" s="2860"/>
      <c r="K26" s="2861"/>
      <c r="L26" s="364"/>
      <c r="M26" s="2864"/>
      <c r="N26" s="2864"/>
      <c r="P26" s="2864"/>
      <c r="Q26" s="2864"/>
      <c r="S26" s="2860"/>
      <c r="T26" s="2861"/>
      <c r="V26" s="2343"/>
      <c r="W26" s="2892"/>
      <c r="X26" s="2893"/>
    </row>
    <row r="27" spans="2:24" s="305" customFormat="1" ht="12.6" customHeight="1" thickTop="1">
      <c r="F27" s="361" t="s">
        <v>193</v>
      </c>
      <c r="G27" s="2857">
        <f>SUM(G25:H26)</f>
        <v>600000</v>
      </c>
      <c r="H27" s="2858"/>
      <c r="J27" s="2857">
        <f>SUM(J25:K26)</f>
        <v>550000</v>
      </c>
      <c r="K27" s="2858"/>
      <c r="L27" s="363"/>
      <c r="M27" s="2857">
        <f>M25</f>
        <v>0</v>
      </c>
      <c r="N27" s="2858"/>
      <c r="P27" s="2857">
        <f>P25</f>
        <v>0</v>
      </c>
      <c r="Q27" s="2858"/>
      <c r="S27" s="2857">
        <f>SUM(S25:T26)</f>
        <v>50000</v>
      </c>
      <c r="T27" s="2858"/>
      <c r="V27" s="2345">
        <f>SUM(V25:V26)</f>
        <v>0</v>
      </c>
      <c r="W27" s="2903"/>
      <c r="X27" s="2904"/>
    </row>
    <row r="28" spans="2:24" s="305" customFormat="1" ht="12" customHeight="1">
      <c r="B28" s="307" t="s">
        <v>1133</v>
      </c>
      <c r="J28" s="363"/>
      <c r="K28" s="360"/>
      <c r="M28" s="363"/>
      <c r="N28" s="360"/>
      <c r="O28" s="362" t="str">
        <f>B28</f>
        <v>STRUCTURES</v>
      </c>
      <c r="P28" s="363"/>
      <c r="Q28" s="360"/>
      <c r="S28" s="363"/>
      <c r="T28" s="360"/>
      <c r="V28" s="1176"/>
      <c r="W28" s="305" t="str">
        <f>B28</f>
        <v>STRUCTURES</v>
      </c>
    </row>
    <row r="29" spans="2:24" s="305" customFormat="1" ht="12.6" customHeight="1">
      <c r="B29" s="305" t="s">
        <v>1134</v>
      </c>
      <c r="G29" s="2744">
        <v>8250000</v>
      </c>
      <c r="H29" s="2745"/>
      <c r="J29" s="2744">
        <v>8250000</v>
      </c>
      <c r="K29" s="2745"/>
      <c r="L29" s="1580"/>
      <c r="M29" s="2744"/>
      <c r="N29" s="2745"/>
      <c r="P29" s="2744"/>
      <c r="Q29" s="2745"/>
      <c r="S29" s="2744"/>
      <c r="T29" s="2745"/>
      <c r="V29" s="2343"/>
      <c r="W29" s="2853"/>
      <c r="X29" s="2854"/>
    </row>
    <row r="30" spans="2:24" s="305" customFormat="1" ht="12.6" customHeight="1">
      <c r="B30" s="305" t="s">
        <v>1135</v>
      </c>
      <c r="G30" s="2755"/>
      <c r="H30" s="2756"/>
      <c r="J30" s="2755"/>
      <c r="K30" s="2756"/>
      <c r="L30" s="1580"/>
      <c r="M30" s="2755"/>
      <c r="N30" s="2756"/>
      <c r="P30" s="2755"/>
      <c r="Q30" s="2756"/>
      <c r="S30" s="2755"/>
      <c r="T30" s="2756"/>
      <c r="V30" s="2343"/>
      <c r="W30" s="2853"/>
      <c r="X30" s="2854"/>
    </row>
    <row r="31" spans="2:24" s="305" customFormat="1" ht="12.6" customHeight="1">
      <c r="B31" s="305" t="s">
        <v>2798</v>
      </c>
      <c r="G31" s="2755"/>
      <c r="H31" s="2756"/>
      <c r="J31" s="2755"/>
      <c r="K31" s="2756"/>
      <c r="L31" s="1580"/>
      <c r="M31" s="2755"/>
      <c r="N31" s="2756"/>
      <c r="P31" s="2755"/>
      <c r="Q31" s="2756"/>
      <c r="S31" s="2755"/>
      <c r="T31" s="2756"/>
      <c r="V31" s="2343"/>
      <c r="W31" s="2853"/>
      <c r="X31" s="2854"/>
    </row>
    <row r="32" spans="2:24" ht="12.6" customHeight="1" thickBot="1">
      <c r="B32" s="305" t="s">
        <v>2797</v>
      </c>
      <c r="G32" s="2860"/>
      <c r="H32" s="2861"/>
      <c r="I32" s="305"/>
      <c r="J32" s="2860"/>
      <c r="K32" s="2861"/>
      <c r="L32" s="1580"/>
      <c r="M32" s="2860"/>
      <c r="N32" s="2861"/>
      <c r="O32" s="305"/>
      <c r="P32" s="2860"/>
      <c r="Q32" s="2861"/>
      <c r="R32" s="305"/>
      <c r="S32" s="2860"/>
      <c r="T32" s="2861"/>
      <c r="V32" s="2343"/>
      <c r="W32" s="2892"/>
      <c r="X32" s="2893"/>
    </row>
    <row r="33" spans="1:24" s="305" customFormat="1" ht="12.6" customHeight="1" thickTop="1">
      <c r="C33" s="2866"/>
      <c r="D33" s="2866"/>
      <c r="E33" s="1576"/>
      <c r="F33" s="361" t="s">
        <v>193</v>
      </c>
      <c r="G33" s="2857">
        <f>SUM(G29:H32)</f>
        <v>8250000</v>
      </c>
      <c r="H33" s="2858"/>
      <c r="J33" s="2857">
        <f>SUM(J29:K32)</f>
        <v>8250000</v>
      </c>
      <c r="K33" s="2858"/>
      <c r="L33" s="1580"/>
      <c r="M33" s="2857">
        <f>SUM(M29:N32)</f>
        <v>0</v>
      </c>
      <c r="N33" s="2858"/>
      <c r="P33" s="2857">
        <f>SUM(P29:Q32)</f>
        <v>0</v>
      </c>
      <c r="Q33" s="2858"/>
      <c r="S33" s="2857">
        <f>SUM(S29:T32)</f>
        <v>0</v>
      </c>
      <c r="T33" s="2858"/>
      <c r="V33" s="2345">
        <f>SUM(V29:V32)</f>
        <v>0</v>
      </c>
      <c r="W33" s="2903"/>
      <c r="X33" s="2904"/>
    </row>
    <row r="34" spans="1:24" s="305" customFormat="1" ht="12" customHeight="1">
      <c r="B34" s="307" t="s">
        <v>2359</v>
      </c>
      <c r="D34" s="2865" t="s">
        <v>3758</v>
      </c>
      <c r="E34" s="2865"/>
      <c r="F34" s="1044">
        <f>SUM(F35:F37)</f>
        <v>0.14000000000000001</v>
      </c>
      <c r="G34" s="1053"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6"/>
      <c r="W34" s="305" t="str">
        <f>B34</f>
        <v>CONTRACTOR SERVICES</v>
      </c>
    </row>
    <row r="35" spans="1:24" s="305" customFormat="1" ht="12.6" customHeight="1">
      <c r="B35" s="305" t="s">
        <v>2360</v>
      </c>
      <c r="D35" s="1046">
        <f>'DCA Underwriting Assumptions'!$R$74</f>
        <v>0.06</v>
      </c>
      <c r="E35" s="1048">
        <f>D35*(G27+G33)</f>
        <v>531000</v>
      </c>
      <c r="F35" s="1045">
        <f>IF(($G$27+$G$33)=0,0,G35/($G$27+$G$33))</f>
        <v>0.06</v>
      </c>
      <c r="G35" s="2744">
        <v>531000</v>
      </c>
      <c r="H35" s="2745"/>
      <c r="I35" s="324"/>
      <c r="J35" s="2744">
        <v>531000</v>
      </c>
      <c r="K35" s="2745"/>
      <c r="L35" s="1580"/>
      <c r="M35" s="2744"/>
      <c r="N35" s="2745"/>
      <c r="P35" s="2744"/>
      <c r="Q35" s="2745"/>
      <c r="S35" s="2744"/>
      <c r="T35" s="2745"/>
      <c r="V35" s="2343"/>
      <c r="W35" s="2853"/>
      <c r="X35" s="2854"/>
    </row>
    <row r="36" spans="1:24" s="305" customFormat="1" ht="12.6" customHeight="1">
      <c r="B36" s="305" t="s">
        <v>2754</v>
      </c>
      <c r="D36" s="1047">
        <f>'DCA Underwriting Assumptions'!$R$75</f>
        <v>0.02</v>
      </c>
      <c r="E36" s="1048">
        <f>D36*(G27+G33)</f>
        <v>177000</v>
      </c>
      <c r="F36" s="1045">
        <f>IF(($G$27+$G$33)=0,0,G36/($G$27+$G$33))</f>
        <v>0.02</v>
      </c>
      <c r="G36" s="2755">
        <v>177000</v>
      </c>
      <c r="H36" s="2756"/>
      <c r="I36" s="324"/>
      <c r="J36" s="2755">
        <v>177000</v>
      </c>
      <c r="K36" s="2756"/>
      <c r="L36" s="1580"/>
      <c r="M36" s="2755"/>
      <c r="N36" s="2756"/>
      <c r="P36" s="2755"/>
      <c r="Q36" s="2756"/>
      <c r="S36" s="2755"/>
      <c r="T36" s="2756"/>
      <c r="V36" s="2343"/>
      <c r="W36" s="2853"/>
      <c r="X36" s="2854"/>
    </row>
    <row r="37" spans="1:24" s="305" customFormat="1" ht="12.6" customHeight="1" thickBot="1">
      <c r="B37" s="305" t="s">
        <v>2755</v>
      </c>
      <c r="D37" s="1051">
        <f>'DCA Underwriting Assumptions'!$R$76</f>
        <v>0.06</v>
      </c>
      <c r="E37" s="1052">
        <f>D37*(G27+G33)</f>
        <v>531000</v>
      </c>
      <c r="F37" s="1367">
        <f>IF(($G$27+$G$33)=0,0,G37/($G$27+$G$33))</f>
        <v>0.06</v>
      </c>
      <c r="G37" s="2860">
        <v>531000</v>
      </c>
      <c r="H37" s="2861"/>
      <c r="I37" s="324"/>
      <c r="J37" s="2860">
        <v>531000</v>
      </c>
      <c r="K37" s="2861"/>
      <c r="L37" s="1580"/>
      <c r="M37" s="2860"/>
      <c r="N37" s="2861"/>
      <c r="P37" s="2860"/>
      <c r="Q37" s="2861"/>
      <c r="S37" s="2860"/>
      <c r="T37" s="2861"/>
      <c r="V37" s="2343"/>
      <c r="W37" s="2892"/>
      <c r="X37" s="2893"/>
    </row>
    <row r="38" spans="1:24" s="305" customFormat="1" ht="12.6" customHeight="1" thickTop="1">
      <c r="B38" s="179" t="s">
        <v>3759</v>
      </c>
      <c r="D38" s="1049">
        <f>SUM(D35:D37)</f>
        <v>0.14000000000000001</v>
      </c>
      <c r="E38" s="1050">
        <f>SUM(E35:E37)</f>
        <v>1239000</v>
      </c>
      <c r="F38" s="1031" t="s">
        <v>193</v>
      </c>
      <c r="G38" s="2857">
        <f>SUM(G35:H37)</f>
        <v>1239000</v>
      </c>
      <c r="H38" s="2858"/>
      <c r="J38" s="2857">
        <f>SUM(J35:K37)</f>
        <v>1239000</v>
      </c>
      <c r="K38" s="2858"/>
      <c r="L38" s="363"/>
      <c r="M38" s="2857">
        <f>SUM(M35:N37)</f>
        <v>0</v>
      </c>
      <c r="N38" s="2858"/>
      <c r="P38" s="2857">
        <f>SUM(P35:Q37)</f>
        <v>0</v>
      </c>
      <c r="Q38" s="2858"/>
      <c r="S38" s="2857">
        <f>SUM(S35:T37)</f>
        <v>0</v>
      </c>
      <c r="T38" s="2858"/>
      <c r="V38" s="2345">
        <f>SUM(V35:V37)</f>
        <v>0</v>
      </c>
      <c r="W38" s="2903"/>
      <c r="X38" s="2904"/>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6"/>
    </row>
    <row r="40" spans="1:24" s="305" customFormat="1" ht="12" customHeight="1">
      <c r="B40" s="307" t="s">
        <v>2759</v>
      </c>
      <c r="J40" s="363"/>
      <c r="K40" s="360"/>
      <c r="M40" s="363"/>
      <c r="N40" s="360"/>
      <c r="O40" s="362" t="str">
        <f>B40</f>
        <v>OTHER CONSTRUCTION HARD COSTS (Non-GC work scope items done by Owner)</v>
      </c>
      <c r="P40" s="363"/>
      <c r="Q40" s="360"/>
      <c r="S40" s="363"/>
      <c r="T40" s="360"/>
      <c r="V40" s="1176"/>
      <c r="W40" s="305" t="str">
        <f>B40</f>
        <v>OTHER CONSTRUCTION HARD COSTS (Non-GC work scope items done by Owner)</v>
      </c>
    </row>
    <row r="41" spans="1:24" ht="12.6" customHeight="1">
      <c r="B41" s="305" t="s">
        <v>749</v>
      </c>
      <c r="C41" s="2855" t="s">
        <v>3738</v>
      </c>
      <c r="D41" s="2885"/>
      <c r="E41" s="2885"/>
      <c r="F41" s="2886"/>
      <c r="G41" s="2867"/>
      <c r="H41" s="2868"/>
      <c r="I41" s="305"/>
      <c r="J41" s="2867"/>
      <c r="K41" s="2868"/>
      <c r="L41" s="1580"/>
      <c r="M41" s="2867"/>
      <c r="N41" s="2868"/>
      <c r="O41" s="305"/>
      <c r="P41" s="2867"/>
      <c r="Q41" s="2868"/>
      <c r="R41" s="305"/>
      <c r="S41" s="2867"/>
      <c r="T41" s="2868"/>
      <c r="V41" s="2343"/>
      <c r="W41" s="2873"/>
      <c r="X41" s="2874"/>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76"/>
      <c r="W42" s="2875"/>
      <c r="X42" s="2876"/>
    </row>
    <row r="43" spans="1:24" s="305" customFormat="1" ht="12.6" customHeight="1">
      <c r="B43" s="529" t="s">
        <v>2763</v>
      </c>
      <c r="C43" s="530"/>
      <c r="E43" s="2879" t="s">
        <v>2762</v>
      </c>
      <c r="F43" s="1578">
        <f>B44/'Part VI-Revenues &amp; Expenses'!$O$60</f>
        <v>155215.38461538462</v>
      </c>
      <c r="G43" s="1579" t="s">
        <v>2789</v>
      </c>
      <c r="H43" s="1574"/>
      <c r="I43" s="1574"/>
      <c r="J43" s="2881">
        <f>B44/'Part VI-Revenues &amp; Expenses'!$O$62</f>
        <v>155215.38461538462</v>
      </c>
      <c r="K43" s="2881"/>
      <c r="L43" s="1574"/>
      <c r="M43" s="2882" t="s">
        <v>1414</v>
      </c>
      <c r="N43" s="2882"/>
      <c r="O43" s="1574"/>
      <c r="P43" s="2881">
        <f>B44/'Part I-Project Information'!$P$71</f>
        <v>115.42421746293246</v>
      </c>
      <c r="Q43" s="2881"/>
      <c r="R43" s="1574"/>
      <c r="S43" s="2883" t="s">
        <v>2796</v>
      </c>
      <c r="T43" s="2884"/>
      <c r="V43" s="1176"/>
      <c r="W43" s="2875"/>
      <c r="X43" s="2876"/>
    </row>
    <row r="44" spans="1:24" s="305" customFormat="1" ht="12.6" customHeight="1">
      <c r="B44" s="2869">
        <f>G27+G33+G38+G41</f>
        <v>10089000</v>
      </c>
      <c r="C44" s="2870"/>
      <c r="E44" s="2880"/>
      <c r="F44" s="1577">
        <f>B44/'Part VI-Revenues &amp; Expenses'!$O$117</f>
        <v>115.42421746293246</v>
      </c>
      <c r="G44" s="528" t="s">
        <v>2790</v>
      </c>
      <c r="H44" s="1567"/>
      <c r="I44" s="1567"/>
      <c r="J44" s="2871">
        <f>B44/'Part VI-Revenues &amp; Expenses'!$O$119</f>
        <v>115.42421746293246</v>
      </c>
      <c r="K44" s="2871"/>
      <c r="L44" s="1567"/>
      <c r="M44" s="2872" t="s">
        <v>2795</v>
      </c>
      <c r="N44" s="2872"/>
      <c r="O44" s="1567"/>
      <c r="P44" s="1567"/>
      <c r="Q44" s="1567"/>
      <c r="R44" s="1567"/>
      <c r="S44" s="1567"/>
      <c r="T44" s="353"/>
      <c r="V44" s="1176"/>
      <c r="W44" s="2877"/>
      <c r="X44" s="2878"/>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6"/>
    </row>
    <row r="46" spans="1:24" s="305" customFormat="1" ht="12" customHeight="1">
      <c r="B46" s="307" t="s">
        <v>1136</v>
      </c>
      <c r="F46" s="1366" t="s">
        <v>4240</v>
      </c>
      <c r="J46" s="363"/>
      <c r="K46" s="360"/>
      <c r="M46" s="363"/>
      <c r="N46" s="360"/>
      <c r="O46" s="362" t="str">
        <f>B46</f>
        <v>CONSTRUCTION CONTINGENCY</v>
      </c>
      <c r="P46" s="363"/>
      <c r="Q46" s="360"/>
      <c r="S46" s="363"/>
      <c r="T46" s="360"/>
      <c r="V46" s="1176"/>
      <c r="W46" s="305" t="str">
        <f>B46</f>
        <v>CONSTRUCTION CONTINGENCY</v>
      </c>
    </row>
    <row r="47" spans="1:24" ht="12.6" customHeight="1">
      <c r="B47" s="305" t="s">
        <v>1977</v>
      </c>
      <c r="D47" s="545" t="s">
        <v>4239</v>
      </c>
      <c r="E47" s="136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504450</v>
      </c>
      <c r="F47" s="365">
        <f>G47/B44</f>
        <v>4.9856279115868769E-2</v>
      </c>
      <c r="G47" s="2867">
        <v>503000</v>
      </c>
      <c r="H47" s="2868"/>
      <c r="I47" s="305"/>
      <c r="J47" s="2867">
        <v>503000</v>
      </c>
      <c r="K47" s="2868"/>
      <c r="L47" s="1580"/>
      <c r="M47" s="2867"/>
      <c r="N47" s="2868"/>
      <c r="O47" s="305"/>
      <c r="P47" s="2867"/>
      <c r="Q47" s="2868"/>
      <c r="R47" s="305"/>
      <c r="S47" s="2867"/>
      <c r="T47" s="2868"/>
      <c r="V47" s="2343"/>
      <c r="W47" s="2853"/>
      <c r="X47" s="2854"/>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6"/>
    </row>
    <row r="49" spans="1:24" s="305" customFormat="1" ht="18.75" customHeight="1" thickBot="1">
      <c r="A49" s="437" t="s">
        <v>622</v>
      </c>
      <c r="B49" s="437" t="s">
        <v>2862</v>
      </c>
      <c r="H49" s="1570"/>
      <c r="I49" s="1570"/>
      <c r="J49" s="2843" t="s">
        <v>273</v>
      </c>
      <c r="K49" s="2844"/>
      <c r="L49" s="360"/>
      <c r="M49" s="2847" t="s">
        <v>494</v>
      </c>
      <c r="N49" s="2848"/>
      <c r="P49" s="2843" t="s">
        <v>274</v>
      </c>
      <c r="Q49" s="2844"/>
      <c r="S49" s="2843" t="s">
        <v>275</v>
      </c>
      <c r="T49" s="2844"/>
      <c r="V49" s="1176"/>
      <c r="W49" s="438" t="str">
        <f>B49</f>
        <v>DEVELOPMENT BUDGET (cont'd)</v>
      </c>
    </row>
    <row r="50" spans="1:24" s="305" customFormat="1" ht="18.75" customHeight="1" thickBot="1">
      <c r="G50" s="2851" t="s">
        <v>102</v>
      </c>
      <c r="H50" s="2852"/>
      <c r="J50" s="2845"/>
      <c r="K50" s="2846"/>
      <c r="L50" s="360"/>
      <c r="M50" s="2849"/>
      <c r="N50" s="2850"/>
      <c r="P50" s="2845"/>
      <c r="Q50" s="2846"/>
      <c r="S50" s="2845"/>
      <c r="T50" s="2846"/>
      <c r="V50" s="1176"/>
      <c r="W50" s="2965" t="s">
        <v>2700</v>
      </c>
      <c r="X50" s="2965"/>
    </row>
    <row r="51" spans="1:24" s="305" customFormat="1" ht="12" customHeight="1">
      <c r="B51" s="307" t="s">
        <v>730</v>
      </c>
      <c r="J51" s="363"/>
      <c r="K51" s="360"/>
      <c r="M51" s="363"/>
      <c r="N51" s="360"/>
      <c r="O51" s="362" t="str">
        <f>B51</f>
        <v>CONSTRUCTION PERIOD FINANCING</v>
      </c>
      <c r="P51" s="363"/>
      <c r="Q51" s="360"/>
      <c r="S51" s="363"/>
      <c r="T51" s="360"/>
      <c r="V51" s="1176"/>
      <c r="W51" s="305" t="str">
        <f>B51</f>
        <v>CONSTRUCTION PERIOD FINANCING</v>
      </c>
    </row>
    <row r="52" spans="1:24" s="305" customFormat="1" ht="12" customHeight="1">
      <c r="B52" s="305" t="s">
        <v>3760</v>
      </c>
      <c r="G52" s="2744"/>
      <c r="H52" s="2745"/>
      <c r="J52" s="2744"/>
      <c r="K52" s="2745"/>
      <c r="L52" s="1580"/>
      <c r="M52" s="2744"/>
      <c r="N52" s="2745"/>
      <c r="P52" s="2744"/>
      <c r="Q52" s="2745"/>
      <c r="S52" s="2744"/>
      <c r="T52" s="2745"/>
      <c r="V52" s="2346"/>
      <c r="W52" s="2853"/>
      <c r="X52" s="2854"/>
    </row>
    <row r="53" spans="1:24" s="305" customFormat="1" ht="12" customHeight="1">
      <c r="B53" s="305" t="s">
        <v>3761</v>
      </c>
      <c r="G53" s="2755"/>
      <c r="H53" s="2756"/>
      <c r="J53" s="2755"/>
      <c r="K53" s="2756"/>
      <c r="L53" s="1580"/>
      <c r="M53" s="2755"/>
      <c r="N53" s="2756"/>
      <c r="P53" s="2755"/>
      <c r="Q53" s="2756"/>
      <c r="S53" s="2755"/>
      <c r="T53" s="2756"/>
      <c r="V53" s="2346"/>
      <c r="W53" s="2853"/>
      <c r="X53" s="2854"/>
    </row>
    <row r="54" spans="1:24" s="305" customFormat="1" ht="12" customHeight="1">
      <c r="B54" s="305" t="s">
        <v>2362</v>
      </c>
      <c r="G54" s="2755">
        <v>7500</v>
      </c>
      <c r="H54" s="2756"/>
      <c r="J54" s="2755">
        <v>7500</v>
      </c>
      <c r="K54" s="2756"/>
      <c r="L54" s="1580"/>
      <c r="M54" s="2755"/>
      <c r="N54" s="2756"/>
      <c r="P54" s="2755"/>
      <c r="Q54" s="2756"/>
      <c r="S54" s="2755"/>
      <c r="T54" s="2756"/>
      <c r="V54" s="2346"/>
      <c r="W54" s="2853"/>
      <c r="X54" s="2854"/>
    </row>
    <row r="55" spans="1:24" s="305" customFormat="1" ht="12" customHeight="1">
      <c r="B55" s="305" t="s">
        <v>2363</v>
      </c>
      <c r="G55" s="2755">
        <v>64200</v>
      </c>
      <c r="H55" s="2756"/>
      <c r="J55" s="2755">
        <v>50000</v>
      </c>
      <c r="K55" s="2756"/>
      <c r="L55" s="1580"/>
      <c r="M55" s="2755"/>
      <c r="N55" s="2756"/>
      <c r="P55" s="2755"/>
      <c r="Q55" s="2756"/>
      <c r="S55" s="2755">
        <v>14200</v>
      </c>
      <c r="T55" s="2756"/>
      <c r="V55" s="2346"/>
      <c r="W55" s="2853"/>
      <c r="X55" s="2854"/>
    </row>
    <row r="56" spans="1:24" s="305" customFormat="1" ht="12" customHeight="1">
      <c r="B56" s="305" t="s">
        <v>2364</v>
      </c>
      <c r="G56" s="2755">
        <v>20000</v>
      </c>
      <c r="H56" s="2756"/>
      <c r="J56" s="2755">
        <v>20000</v>
      </c>
      <c r="K56" s="2756"/>
      <c r="L56" s="1580"/>
      <c r="M56" s="2755"/>
      <c r="N56" s="2756"/>
      <c r="P56" s="2755"/>
      <c r="Q56" s="2756"/>
      <c r="S56" s="2755"/>
      <c r="T56" s="2756"/>
      <c r="V56" s="2346"/>
      <c r="W56" s="2853"/>
      <c r="X56" s="2854"/>
    </row>
    <row r="57" spans="1:24" s="305" customFormat="1" ht="12" customHeight="1">
      <c r="B57" s="305" t="s">
        <v>2704</v>
      </c>
      <c r="G57" s="2755">
        <v>5000</v>
      </c>
      <c r="H57" s="2756"/>
      <c r="J57" s="2755">
        <v>5000</v>
      </c>
      <c r="K57" s="2756"/>
      <c r="L57" s="1580"/>
      <c r="M57" s="2755"/>
      <c r="N57" s="2756"/>
      <c r="P57" s="2755"/>
      <c r="Q57" s="2756"/>
      <c r="S57" s="2755"/>
      <c r="T57" s="2756"/>
      <c r="V57" s="2346"/>
      <c r="W57" s="2853"/>
      <c r="X57" s="2854"/>
    </row>
    <row r="58" spans="1:24" s="305" customFormat="1" ht="12" customHeight="1">
      <c r="B58" s="305" t="s">
        <v>731</v>
      </c>
      <c r="G58" s="2755">
        <v>5000</v>
      </c>
      <c r="H58" s="2756"/>
      <c r="J58" s="2755">
        <v>5000</v>
      </c>
      <c r="K58" s="2756"/>
      <c r="L58" s="1580"/>
      <c r="M58" s="2755"/>
      <c r="N58" s="2756"/>
      <c r="P58" s="2755"/>
      <c r="Q58" s="2756"/>
      <c r="S58" s="2755"/>
      <c r="T58" s="2756"/>
      <c r="V58" s="2346"/>
      <c r="W58" s="2853"/>
      <c r="X58" s="2854"/>
    </row>
    <row r="59" spans="1:24" s="305" customFormat="1" ht="12" customHeight="1">
      <c r="B59" s="305" t="s">
        <v>2365</v>
      </c>
      <c r="G59" s="2755">
        <v>26000</v>
      </c>
      <c r="H59" s="2756"/>
      <c r="J59" s="2755">
        <v>26000</v>
      </c>
      <c r="K59" s="2756"/>
      <c r="L59" s="1580"/>
      <c r="M59" s="2755"/>
      <c r="N59" s="2756"/>
      <c r="P59" s="2755"/>
      <c r="Q59" s="2756"/>
      <c r="S59" s="2755"/>
      <c r="T59" s="2756"/>
      <c r="V59" s="2346"/>
      <c r="W59" s="2853"/>
      <c r="X59" s="2854"/>
    </row>
    <row r="60" spans="1:24" s="305" customFormat="1" ht="12" customHeight="1">
      <c r="B60" s="305" t="s">
        <v>1288</v>
      </c>
      <c r="G60" s="2755">
        <v>17500</v>
      </c>
      <c r="H60" s="2756"/>
      <c r="J60" s="2755">
        <v>17500</v>
      </c>
      <c r="K60" s="2756"/>
      <c r="L60" s="1580"/>
      <c r="M60" s="2755"/>
      <c r="N60" s="2756"/>
      <c r="P60" s="2755"/>
      <c r="Q60" s="2756"/>
      <c r="S60" s="2755"/>
      <c r="T60" s="2756"/>
      <c r="V60" s="2346"/>
      <c r="W60" s="2853"/>
      <c r="X60" s="2854"/>
    </row>
    <row r="61" spans="1:24" s="305" customFormat="1" ht="12" customHeight="1">
      <c r="B61" s="367" t="s">
        <v>1163</v>
      </c>
      <c r="D61" s="365"/>
      <c r="E61" s="365"/>
      <c r="F61" s="366"/>
      <c r="G61" s="2755">
        <v>75000</v>
      </c>
      <c r="H61" s="2756"/>
      <c r="I61" s="324"/>
      <c r="J61" s="2755">
        <v>75000</v>
      </c>
      <c r="K61" s="2756"/>
      <c r="L61" s="1580"/>
      <c r="M61" s="2755"/>
      <c r="N61" s="2756"/>
      <c r="P61" s="2755"/>
      <c r="Q61" s="2756"/>
      <c r="S61" s="2755"/>
      <c r="T61" s="2756"/>
      <c r="V61" s="2346"/>
      <c r="W61" s="2853"/>
      <c r="X61" s="2854"/>
    </row>
    <row r="62" spans="1:24" s="305" customFormat="1" ht="12" customHeight="1">
      <c r="A62" s="387" t="str">
        <f>IF(AND(G62&gt;0,OR(C62="",C62="&lt;Enter detailed description here; use Comments section if needed&gt;")),"X","")</f>
        <v/>
      </c>
      <c r="B62" s="305" t="s">
        <v>749</v>
      </c>
      <c r="C62" s="2889" t="s">
        <v>4586</v>
      </c>
      <c r="D62" s="2889"/>
      <c r="E62" s="2889"/>
      <c r="F62" s="2890"/>
      <c r="G62" s="2755">
        <v>5000</v>
      </c>
      <c r="H62" s="2756"/>
      <c r="J62" s="2755">
        <v>5000</v>
      </c>
      <c r="K62" s="2756"/>
      <c r="L62" s="1580"/>
      <c r="M62" s="2755"/>
      <c r="N62" s="2756"/>
      <c r="P62" s="2755"/>
      <c r="Q62" s="2756"/>
      <c r="S62" s="2755"/>
      <c r="T62" s="2756"/>
      <c r="U62" s="386" t="str">
        <f>IF(AND(G62&gt;0,OR(C62="",C62="&lt;Enter detailed description here; use Comments section if needed&gt;")),"NO DESCRIPTION PROVIDED - please enter detailed description in Other box at left; use Comments section below if needed.","")</f>
        <v/>
      </c>
      <c r="V62" s="2346"/>
      <c r="W62" s="2853"/>
      <c r="X62" s="2854"/>
    </row>
    <row r="63" spans="1:24" s="305" customFormat="1" ht="12" customHeight="1" thickBot="1">
      <c r="A63" s="387" t="str">
        <f>IF(AND(G63&gt;0,OR(C63="",C63="&lt;Enter detailed description here; use Comments section if needed&gt;")),"X","")</f>
        <v/>
      </c>
      <c r="B63" s="305" t="s">
        <v>749</v>
      </c>
      <c r="C63" s="2887" t="s">
        <v>3738</v>
      </c>
      <c r="D63" s="2887"/>
      <c r="E63" s="2887"/>
      <c r="F63" s="2888"/>
      <c r="G63" s="2733"/>
      <c r="H63" s="2734"/>
      <c r="J63" s="2733"/>
      <c r="K63" s="2734"/>
      <c r="L63" s="1580"/>
      <c r="M63" s="2733"/>
      <c r="N63" s="2734"/>
      <c r="P63" s="2733"/>
      <c r="Q63" s="2734"/>
      <c r="S63" s="2733"/>
      <c r="T63" s="2734"/>
      <c r="U63" s="386" t="str">
        <f>IF(AND(G63&gt;0,OR(C63="",C63="&lt;Enter detailed description here; use Comments section if needed&gt;")),"NO DESCRIPTION PROVIDED - please enter detailed description in Other box at left; use Comments section below if needed.","")</f>
        <v/>
      </c>
      <c r="V63" s="2346"/>
      <c r="W63" s="2892"/>
      <c r="X63" s="2893"/>
    </row>
    <row r="64" spans="1:24" s="305" customFormat="1" ht="12" customHeight="1" thickTop="1">
      <c r="F64" s="361" t="s">
        <v>193</v>
      </c>
      <c r="G64" s="2857">
        <f>SUM(G52:H63)</f>
        <v>225200</v>
      </c>
      <c r="H64" s="2858"/>
      <c r="J64" s="2857">
        <f>SUM(J52:K63)</f>
        <v>211000</v>
      </c>
      <c r="K64" s="2858"/>
      <c r="L64" s="363"/>
      <c r="M64" s="2857">
        <f>SUM(M52:N63)</f>
        <v>0</v>
      </c>
      <c r="N64" s="2858"/>
      <c r="P64" s="2857">
        <f>SUM(P52:Q63)</f>
        <v>0</v>
      </c>
      <c r="Q64" s="2858"/>
      <c r="S64" s="2857">
        <f>SUM(S52:T63)</f>
        <v>14200</v>
      </c>
      <c r="T64" s="2858"/>
      <c r="V64" s="2347">
        <f>SUM(V52:V63)</f>
        <v>0</v>
      </c>
      <c r="W64" s="2903"/>
      <c r="X64" s="2904"/>
    </row>
    <row r="65" spans="1:24" s="305" customFormat="1" ht="12" customHeight="1">
      <c r="B65" s="307" t="s">
        <v>480</v>
      </c>
      <c r="G65" s="360"/>
      <c r="H65" s="360"/>
      <c r="J65" s="360"/>
      <c r="K65" s="360"/>
      <c r="M65" s="360"/>
      <c r="N65" s="360"/>
      <c r="O65" s="362" t="str">
        <f>B65</f>
        <v>PROFESSIONAL SERVICES</v>
      </c>
      <c r="P65" s="360"/>
      <c r="Q65" s="360"/>
      <c r="S65" s="360"/>
      <c r="T65" s="360"/>
      <c r="V65" s="1176"/>
      <c r="W65" s="305" t="str">
        <f>B65</f>
        <v>PROFESSIONAL SERVICES</v>
      </c>
    </row>
    <row r="66" spans="1:24" s="305" customFormat="1" ht="12" customHeight="1">
      <c r="B66" s="305" t="s">
        <v>481</v>
      </c>
      <c r="G66" s="2744">
        <v>190000</v>
      </c>
      <c r="H66" s="2745"/>
      <c r="J66" s="2744">
        <v>190000</v>
      </c>
      <c r="K66" s="2745"/>
      <c r="L66" s="1580"/>
      <c r="M66" s="2744"/>
      <c r="N66" s="2745"/>
      <c r="P66" s="2744"/>
      <c r="Q66" s="2745"/>
      <c r="S66" s="2744"/>
      <c r="T66" s="2745"/>
      <c r="V66" s="2343"/>
      <c r="W66" s="2853"/>
      <c r="X66" s="2854"/>
    </row>
    <row r="67" spans="1:24" s="305" customFormat="1" ht="12" customHeight="1">
      <c r="B67" s="305" t="s">
        <v>482</v>
      </c>
      <c r="G67" s="2755">
        <v>50000</v>
      </c>
      <c r="H67" s="2756"/>
      <c r="J67" s="2755">
        <v>50000</v>
      </c>
      <c r="K67" s="2756"/>
      <c r="L67" s="1580"/>
      <c r="M67" s="2755"/>
      <c r="N67" s="2756"/>
      <c r="P67" s="2755"/>
      <c r="Q67" s="2756"/>
      <c r="S67" s="2755"/>
      <c r="T67" s="2756"/>
      <c r="V67" s="2343"/>
      <c r="W67" s="2853"/>
      <c r="X67" s="2854"/>
    </row>
    <row r="68" spans="1:24" s="305" customFormat="1" ht="12" customHeight="1">
      <c r="B68" s="305" t="s">
        <v>1137</v>
      </c>
      <c r="D68" s="318" t="s">
        <v>3877</v>
      </c>
      <c r="E68" s="1167">
        <f>'DCA Underwriting Assumptions'!R77</f>
        <v>20000</v>
      </c>
      <c r="F68" s="1168" t="str">
        <f>IF(G68&gt;E68,"CHECK!!!","")</f>
        <v/>
      </c>
      <c r="G68" s="2755">
        <v>20000</v>
      </c>
      <c r="H68" s="2756"/>
      <c r="J68" s="2755">
        <v>20000</v>
      </c>
      <c r="K68" s="2756"/>
      <c r="L68" s="1580"/>
      <c r="M68" s="2755"/>
      <c r="N68" s="2756"/>
      <c r="P68" s="2755"/>
      <c r="Q68" s="2756"/>
      <c r="S68" s="2755"/>
      <c r="T68" s="2756"/>
      <c r="V68" s="2343"/>
      <c r="W68" s="2853"/>
      <c r="X68" s="2854"/>
    </row>
    <row r="69" spans="1:24" s="305" customFormat="1" ht="12" customHeight="1">
      <c r="B69" s="305" t="s">
        <v>1138</v>
      </c>
      <c r="G69" s="2755">
        <v>5700</v>
      </c>
      <c r="H69" s="2756"/>
      <c r="J69" s="2755">
        <v>5700</v>
      </c>
      <c r="K69" s="2756"/>
      <c r="L69" s="1580"/>
      <c r="M69" s="2755"/>
      <c r="N69" s="2756"/>
      <c r="P69" s="2755"/>
      <c r="Q69" s="2756"/>
      <c r="S69" s="2755"/>
      <c r="T69" s="2756"/>
      <c r="V69" s="2343"/>
      <c r="W69" s="2853"/>
      <c r="X69" s="2854"/>
    </row>
    <row r="70" spans="1:24" s="305" customFormat="1" ht="12" customHeight="1">
      <c r="B70" s="305" t="s">
        <v>1139</v>
      </c>
      <c r="G70" s="2755">
        <v>6300</v>
      </c>
      <c r="H70" s="2756"/>
      <c r="J70" s="2755">
        <v>6300</v>
      </c>
      <c r="K70" s="2756"/>
      <c r="L70" s="1580"/>
      <c r="M70" s="2755"/>
      <c r="N70" s="2756"/>
      <c r="P70" s="2755"/>
      <c r="Q70" s="2756"/>
      <c r="S70" s="2755"/>
      <c r="T70" s="2756"/>
      <c r="V70" s="2343"/>
      <c r="W70" s="2853"/>
      <c r="X70" s="2854"/>
    </row>
    <row r="71" spans="1:24" s="305" customFormat="1" ht="12" customHeight="1">
      <c r="B71" s="305" t="s">
        <v>1140</v>
      </c>
      <c r="G71" s="2755">
        <v>20000</v>
      </c>
      <c r="H71" s="2756"/>
      <c r="J71" s="2755">
        <v>20000</v>
      </c>
      <c r="K71" s="2756"/>
      <c r="L71" s="1580"/>
      <c r="M71" s="2755"/>
      <c r="N71" s="2756"/>
      <c r="P71" s="2755"/>
      <c r="Q71" s="2756"/>
      <c r="S71" s="2755"/>
      <c r="T71" s="2756"/>
      <c r="V71" s="2343"/>
      <c r="W71" s="2853"/>
      <c r="X71" s="2854"/>
    </row>
    <row r="72" spans="1:24" s="305" customFormat="1" ht="12" customHeight="1">
      <c r="B72" s="305" t="s">
        <v>483</v>
      </c>
      <c r="G72" s="2755">
        <v>70560</v>
      </c>
      <c r="H72" s="2756"/>
      <c r="J72" s="2755">
        <v>70560</v>
      </c>
      <c r="K72" s="2756"/>
      <c r="L72" s="1580"/>
      <c r="M72" s="2755"/>
      <c r="N72" s="2756"/>
      <c r="P72" s="2755"/>
      <c r="Q72" s="2756"/>
      <c r="S72" s="2755"/>
      <c r="T72" s="2756"/>
      <c r="V72" s="2343"/>
      <c r="W72" s="2853"/>
      <c r="X72" s="2854"/>
    </row>
    <row r="73" spans="1:24" s="305" customFormat="1" ht="12" customHeight="1">
      <c r="B73" s="305" t="s">
        <v>484</v>
      </c>
      <c r="G73" s="2755">
        <v>71960</v>
      </c>
      <c r="H73" s="2756"/>
      <c r="J73" s="2755">
        <v>71960</v>
      </c>
      <c r="K73" s="2756"/>
      <c r="L73" s="1580"/>
      <c r="M73" s="2755"/>
      <c r="N73" s="2756"/>
      <c r="P73" s="2755"/>
      <c r="Q73" s="2756"/>
      <c r="S73" s="2755">
        <v>48000</v>
      </c>
      <c r="T73" s="2756"/>
      <c r="V73" s="2343"/>
      <c r="W73" s="2853"/>
      <c r="X73" s="2854"/>
    </row>
    <row r="74" spans="1:24" s="305" customFormat="1" ht="12" customHeight="1">
      <c r="B74" s="305" t="s">
        <v>2065</v>
      </c>
      <c r="G74" s="2755">
        <v>25000</v>
      </c>
      <c r="H74" s="2756"/>
      <c r="J74" s="2755">
        <v>25000</v>
      </c>
      <c r="K74" s="2756"/>
      <c r="L74" s="1580"/>
      <c r="M74" s="2755"/>
      <c r="N74" s="2756"/>
      <c r="P74" s="2755"/>
      <c r="Q74" s="2756"/>
      <c r="S74" s="2755"/>
      <c r="T74" s="2756"/>
      <c r="V74" s="2343"/>
      <c r="W74" s="2853"/>
      <c r="X74" s="2854"/>
    </row>
    <row r="75" spans="1:24" s="305" customFormat="1" ht="12" customHeight="1">
      <c r="B75" s="305" t="s">
        <v>1289</v>
      </c>
      <c r="G75" s="2755">
        <v>5000</v>
      </c>
      <c r="H75" s="2756"/>
      <c r="J75" s="2755">
        <v>5000</v>
      </c>
      <c r="K75" s="2756"/>
      <c r="L75" s="1580"/>
      <c r="M75" s="2755"/>
      <c r="N75" s="2756"/>
      <c r="P75" s="2755"/>
      <c r="Q75" s="2756"/>
      <c r="S75" s="2755"/>
      <c r="T75" s="2756"/>
      <c r="V75" s="2343"/>
      <c r="W75" s="2853"/>
      <c r="X75" s="2854"/>
    </row>
    <row r="76" spans="1:24" s="305" customFormat="1" ht="12" customHeight="1" thickBot="1">
      <c r="A76" s="387" t="str">
        <f>IF(AND(G76&gt;0,OR(C76="",C76="&lt;Enter detailed description here; use Comments section if needed&gt;")),"X","")</f>
        <v/>
      </c>
      <c r="B76" s="305" t="s">
        <v>749</v>
      </c>
      <c r="C76" s="2855" t="s">
        <v>3738</v>
      </c>
      <c r="D76" s="2855"/>
      <c r="E76" s="2855"/>
      <c r="F76" s="2856"/>
      <c r="G76" s="2733"/>
      <c r="H76" s="2734"/>
      <c r="J76" s="2733"/>
      <c r="K76" s="2734"/>
      <c r="L76" s="1580"/>
      <c r="M76" s="2733"/>
      <c r="N76" s="2734"/>
      <c r="P76" s="2733"/>
      <c r="Q76" s="2734"/>
      <c r="S76" s="2733"/>
      <c r="T76" s="2734"/>
      <c r="U76" s="386" t="str">
        <f>IF(AND(G76&gt;0,OR(C76="",C76="&lt;Enter detailed description here; use Comments section if needed&gt;")),"NO DESCRIPTION PROVIDED - please enter detailed description in Other box at left; use Comments section below if needed.","")</f>
        <v/>
      </c>
      <c r="V76" s="2343"/>
      <c r="W76" s="2892"/>
      <c r="X76" s="2893"/>
    </row>
    <row r="77" spans="1:24" s="305" customFormat="1" ht="12" customHeight="1" thickTop="1">
      <c r="F77" s="361" t="s">
        <v>193</v>
      </c>
      <c r="G77" s="2857">
        <f>SUM(G66:H76)</f>
        <v>464520</v>
      </c>
      <c r="H77" s="2858"/>
      <c r="J77" s="2857">
        <f>SUM(J66:K76)</f>
        <v>464520</v>
      </c>
      <c r="K77" s="2858"/>
      <c r="L77" s="363"/>
      <c r="M77" s="2857">
        <f>SUM(M66:N76)</f>
        <v>0</v>
      </c>
      <c r="N77" s="2858"/>
      <c r="P77" s="2857">
        <f>SUM(P66:Q76)</f>
        <v>0</v>
      </c>
      <c r="Q77" s="2858"/>
      <c r="S77" s="2857">
        <f>SUM(S66:T76)</f>
        <v>48000</v>
      </c>
      <c r="T77" s="2858"/>
      <c r="V77" s="2345">
        <f>SUM(V66:V76)</f>
        <v>0</v>
      </c>
      <c r="W77" s="2903"/>
      <c r="X77" s="2904"/>
    </row>
    <row r="78" spans="1:24" ht="12" customHeight="1">
      <c r="A78" s="305"/>
      <c r="B78" s="307" t="s">
        <v>1281</v>
      </c>
      <c r="C78" s="305"/>
      <c r="D78" s="969" t="s">
        <v>3762</v>
      </c>
      <c r="E78" s="1054">
        <f>G83/'Part VI-Revenues &amp; Expenses'!$O$62</f>
        <v>1747.6923076923076</v>
      </c>
      <c r="F78" s="305"/>
      <c r="G78" s="305"/>
      <c r="H78" s="305"/>
      <c r="I78" s="305"/>
      <c r="J78" s="363"/>
      <c r="K78" s="363"/>
      <c r="M78" s="363"/>
      <c r="N78" s="363"/>
      <c r="O78" s="362" t="str">
        <f>B78</f>
        <v>LOCAL GOVERNMENT FEES</v>
      </c>
      <c r="P78" s="363"/>
      <c r="Q78" s="363"/>
      <c r="S78" s="363"/>
      <c r="T78" s="363"/>
      <c r="V78" s="1176"/>
      <c r="W78" s="305" t="str">
        <f>B78</f>
        <v>LOCAL GOVERNMENT FEES</v>
      </c>
    </row>
    <row r="79" spans="1:24" s="305" customFormat="1" ht="12" customHeight="1">
      <c r="B79" s="305" t="s">
        <v>1282</v>
      </c>
      <c r="G79" s="2744">
        <v>30000</v>
      </c>
      <c r="H79" s="2745"/>
      <c r="J79" s="2744">
        <v>30000</v>
      </c>
      <c r="K79" s="2745"/>
      <c r="L79" s="1580"/>
      <c r="M79" s="2744"/>
      <c r="N79" s="2745"/>
      <c r="P79" s="2744"/>
      <c r="Q79" s="2745"/>
      <c r="S79" s="2744"/>
      <c r="T79" s="2745"/>
      <c r="V79" s="2343"/>
      <c r="W79" s="2853"/>
      <c r="X79" s="2854"/>
    </row>
    <row r="80" spans="1:24" s="305" customFormat="1" ht="12" customHeight="1">
      <c r="B80" s="305" t="s">
        <v>1283</v>
      </c>
      <c r="G80" s="2755"/>
      <c r="H80" s="2756"/>
      <c r="J80" s="2755"/>
      <c r="K80" s="2756"/>
      <c r="L80" s="1580"/>
      <c r="M80" s="2755"/>
      <c r="N80" s="2756"/>
      <c r="P80" s="2755"/>
      <c r="Q80" s="2756"/>
      <c r="S80" s="2755"/>
      <c r="T80" s="2756"/>
      <c r="V80" s="2343"/>
      <c r="W80" s="2853"/>
      <c r="X80" s="2854"/>
    </row>
    <row r="81" spans="1:24" s="305" customFormat="1" ht="12" customHeight="1">
      <c r="B81" s="305" t="s">
        <v>1284</v>
      </c>
      <c r="D81" s="369" t="s">
        <v>1415</v>
      </c>
      <c r="E81" s="2348" t="s">
        <v>3013</v>
      </c>
      <c r="G81" s="2755">
        <v>45600</v>
      </c>
      <c r="H81" s="2756"/>
      <c r="I81" s="324"/>
      <c r="J81" s="2755">
        <v>45600</v>
      </c>
      <c r="K81" s="2756"/>
      <c r="L81" s="1580"/>
      <c r="M81" s="2755"/>
      <c r="N81" s="2756"/>
      <c r="P81" s="2755"/>
      <c r="Q81" s="2756"/>
      <c r="S81" s="2755"/>
      <c r="T81" s="2756"/>
      <c r="V81" s="2343"/>
      <c r="W81" s="2853"/>
      <c r="X81" s="2854"/>
    </row>
    <row r="82" spans="1:24" s="305" customFormat="1" ht="12" customHeight="1" thickBot="1">
      <c r="B82" s="305" t="s">
        <v>1285</v>
      </c>
      <c r="D82" s="369" t="s">
        <v>1415</v>
      </c>
      <c r="E82" s="2349" t="s">
        <v>3013</v>
      </c>
      <c r="G82" s="2733">
        <v>38000</v>
      </c>
      <c r="H82" s="2734"/>
      <c r="I82" s="324"/>
      <c r="J82" s="2733">
        <v>38000</v>
      </c>
      <c r="K82" s="2734"/>
      <c r="L82" s="1580"/>
      <c r="M82" s="2733"/>
      <c r="N82" s="2734"/>
      <c r="P82" s="2733"/>
      <c r="Q82" s="2734"/>
      <c r="S82" s="2733"/>
      <c r="T82" s="2734"/>
      <c r="V82" s="2343"/>
      <c r="W82" s="2892"/>
      <c r="X82" s="2893"/>
    </row>
    <row r="83" spans="1:24" s="305" customFormat="1" ht="12" customHeight="1" thickTop="1">
      <c r="F83" s="361" t="s">
        <v>193</v>
      </c>
      <c r="G83" s="2857">
        <f>SUM(G79:H82)</f>
        <v>113600</v>
      </c>
      <c r="H83" s="2858"/>
      <c r="J83" s="2857">
        <f>SUM(J79:K82)</f>
        <v>113600</v>
      </c>
      <c r="K83" s="2858"/>
      <c r="L83" s="363"/>
      <c r="M83" s="2857">
        <f>SUM(M79:N82)</f>
        <v>0</v>
      </c>
      <c r="N83" s="2858"/>
      <c r="P83" s="2857">
        <f>SUM(P79:Q82)</f>
        <v>0</v>
      </c>
      <c r="Q83" s="2858"/>
      <c r="S83" s="2857">
        <f>SUM(S79:T82)</f>
        <v>0</v>
      </c>
      <c r="T83" s="2858"/>
      <c r="V83" s="2345">
        <f>SUM(V79:V82)</f>
        <v>0</v>
      </c>
      <c r="W83" s="2903"/>
      <c r="X83" s="2904"/>
    </row>
    <row r="84" spans="1:24" s="305" customFormat="1" ht="12" customHeight="1">
      <c r="B84" s="307" t="s">
        <v>732</v>
      </c>
      <c r="J84" s="363"/>
      <c r="K84" s="363"/>
      <c r="M84" s="363"/>
      <c r="N84" s="363"/>
      <c r="O84" s="362" t="str">
        <f>B84</f>
        <v>PERMANENT FINANCING FEES</v>
      </c>
      <c r="P84" s="363"/>
      <c r="Q84" s="363"/>
      <c r="S84" s="363"/>
      <c r="T84" s="363"/>
      <c r="V84" s="1176"/>
      <c r="W84" s="305" t="str">
        <f>B84</f>
        <v>PERMANENT FINANCING FEES</v>
      </c>
    </row>
    <row r="85" spans="1:24" s="305" customFormat="1" ht="12" customHeight="1">
      <c r="B85" s="305" t="s">
        <v>1286</v>
      </c>
      <c r="G85" s="2744"/>
      <c r="H85" s="2745"/>
      <c r="J85" s="2891"/>
      <c r="K85" s="2891"/>
      <c r="L85" s="1580"/>
      <c r="M85" s="2891"/>
      <c r="N85" s="2891"/>
      <c r="P85" s="2891"/>
      <c r="Q85" s="2891"/>
      <c r="S85" s="2744"/>
      <c r="T85" s="2745"/>
      <c r="V85" s="2343"/>
      <c r="W85" s="2853"/>
      <c r="X85" s="2854"/>
    </row>
    <row r="86" spans="1:24" s="305" customFormat="1" ht="12" customHeight="1">
      <c r="B86" s="305" t="s">
        <v>1287</v>
      </c>
      <c r="G86" s="2755">
        <v>30000</v>
      </c>
      <c r="H86" s="2756"/>
      <c r="J86" s="2891"/>
      <c r="K86" s="2891"/>
      <c r="L86" s="1580"/>
      <c r="M86" s="2891"/>
      <c r="N86" s="2891"/>
      <c r="P86" s="2891"/>
      <c r="Q86" s="2891"/>
      <c r="S86" s="2755">
        <v>30000</v>
      </c>
      <c r="T86" s="2756"/>
      <c r="V86" s="2343"/>
      <c r="W86" s="2853"/>
      <c r="X86" s="2854"/>
    </row>
    <row r="87" spans="1:24" s="305" customFormat="1" ht="12" customHeight="1">
      <c r="B87" s="305" t="s">
        <v>1288</v>
      </c>
      <c r="G87" s="2755">
        <v>5000</v>
      </c>
      <c r="H87" s="2756"/>
      <c r="J87" s="2891"/>
      <c r="K87" s="2891"/>
      <c r="L87" s="1580"/>
      <c r="M87" s="2891"/>
      <c r="N87" s="2891"/>
      <c r="P87" s="2891"/>
      <c r="Q87" s="2891"/>
      <c r="S87" s="2755">
        <v>5000</v>
      </c>
      <c r="T87" s="2756"/>
      <c r="V87" s="2343"/>
      <c r="W87" s="2853"/>
      <c r="X87" s="2854"/>
    </row>
    <row r="88" spans="1:24" s="305" customFormat="1" ht="12" customHeight="1">
      <c r="B88" s="305" t="s">
        <v>1290</v>
      </c>
      <c r="G88" s="2755"/>
      <c r="H88" s="2756"/>
      <c r="J88" s="2891"/>
      <c r="K88" s="2891"/>
      <c r="L88" s="1580"/>
      <c r="M88" s="2891"/>
      <c r="N88" s="2891"/>
      <c r="P88" s="2891"/>
      <c r="Q88" s="2891"/>
      <c r="S88" s="2755"/>
      <c r="T88" s="2756"/>
      <c r="V88" s="2343"/>
      <c r="W88" s="2853"/>
      <c r="X88" s="2854"/>
    </row>
    <row r="89" spans="1:24" s="305" customFormat="1" ht="12" customHeight="1">
      <c r="B89" s="305" t="s">
        <v>2314</v>
      </c>
      <c r="G89" s="2755"/>
      <c r="H89" s="2756"/>
      <c r="J89" s="2891"/>
      <c r="K89" s="2891"/>
      <c r="L89" s="1580"/>
      <c r="M89" s="2891"/>
      <c r="N89" s="2891"/>
      <c r="P89" s="2891"/>
      <c r="Q89" s="2891"/>
      <c r="S89" s="2755"/>
      <c r="T89" s="2756"/>
      <c r="V89" s="2343"/>
      <c r="W89" s="2853"/>
      <c r="X89" s="2854"/>
    </row>
    <row r="90" spans="1:24" s="305" customFormat="1" ht="12" customHeight="1" thickBot="1">
      <c r="A90" s="387" t="str">
        <f>IF(AND(G90&gt;0,OR(C90="",C90="&lt;Enter detailed description here; use Comments section if needed&gt;")),"X","")</f>
        <v/>
      </c>
      <c r="B90" s="305" t="s">
        <v>749</v>
      </c>
      <c r="C90" s="2855" t="s">
        <v>3738</v>
      </c>
      <c r="D90" s="2855"/>
      <c r="E90" s="2855"/>
      <c r="F90" s="2856"/>
      <c r="G90" s="2733"/>
      <c r="H90" s="2734"/>
      <c r="J90" s="2891"/>
      <c r="K90" s="2891"/>
      <c r="L90" s="1580"/>
      <c r="M90" s="2891"/>
      <c r="N90" s="2891"/>
      <c r="P90" s="2891"/>
      <c r="Q90" s="2891"/>
      <c r="S90" s="2733"/>
      <c r="T90" s="2734"/>
      <c r="U90" s="386" t="str">
        <f>IF(AND(G90&gt;0,OR(C90="",C90="&lt;Enter detailed description here; use Comments section if needed&gt;")),"NO DESCRIPTION PROVIDED - please enter detailed description in Other box at left; use Comments section below if needed.","")</f>
        <v/>
      </c>
      <c r="V90" s="2343"/>
      <c r="W90" s="2892"/>
      <c r="X90" s="2893"/>
    </row>
    <row r="91" spans="1:24" s="305" customFormat="1" ht="12" customHeight="1" thickTop="1">
      <c r="F91" s="361" t="s">
        <v>193</v>
      </c>
      <c r="G91" s="2857">
        <f>SUM(G85:H90)</f>
        <v>35000</v>
      </c>
      <c r="H91" s="2858"/>
      <c r="J91" s="2891"/>
      <c r="K91" s="2891"/>
      <c r="L91" s="363"/>
      <c r="M91" s="2891"/>
      <c r="N91" s="2891"/>
      <c r="P91" s="2891"/>
      <c r="Q91" s="2891"/>
      <c r="S91" s="2857">
        <f>SUM(S85:T90)</f>
        <v>35000</v>
      </c>
      <c r="T91" s="2858"/>
      <c r="V91" s="2345">
        <f>SUM(V85:V90)</f>
        <v>0</v>
      </c>
      <c r="W91" s="2903"/>
      <c r="X91" s="2904"/>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6"/>
    </row>
    <row r="93" spans="1:24" s="305" customFormat="1" ht="18" customHeight="1" thickBot="1">
      <c r="A93" s="437" t="s">
        <v>622</v>
      </c>
      <c r="B93" s="437" t="s">
        <v>2861</v>
      </c>
      <c r="H93" s="1570"/>
      <c r="I93" s="1570"/>
      <c r="J93" s="2843" t="s">
        <v>273</v>
      </c>
      <c r="K93" s="2844"/>
      <c r="L93" s="360"/>
      <c r="M93" s="2847" t="s">
        <v>494</v>
      </c>
      <c r="N93" s="2848"/>
      <c r="P93" s="2843" t="s">
        <v>274</v>
      </c>
      <c r="Q93" s="2844"/>
      <c r="S93" s="2843" t="s">
        <v>275</v>
      </c>
      <c r="T93" s="2844"/>
      <c r="V93" s="438" t="str">
        <f>B93</f>
        <v>DEVELOPMENT BUDGET  (cont'd)</v>
      </c>
    </row>
    <row r="94" spans="1:24" s="305" customFormat="1" ht="18" customHeight="1" thickBot="1">
      <c r="G94" s="2851" t="s">
        <v>102</v>
      </c>
      <c r="H94" s="2852"/>
      <c r="J94" s="2845"/>
      <c r="K94" s="2846"/>
      <c r="L94" s="360"/>
      <c r="M94" s="2849"/>
      <c r="N94" s="2850"/>
      <c r="P94" s="2845"/>
      <c r="Q94" s="2846"/>
      <c r="S94" s="2845"/>
      <c r="T94" s="2846"/>
      <c r="V94" s="347" t="s">
        <v>2700</v>
      </c>
      <c r="X94" s="347"/>
    </row>
    <row r="95" spans="1:24" s="305" customFormat="1" ht="13.15" customHeight="1">
      <c r="B95" s="307" t="s">
        <v>733</v>
      </c>
      <c r="J95" s="363"/>
      <c r="K95" s="363"/>
      <c r="M95" s="363"/>
      <c r="N95" s="363"/>
      <c r="O95" s="362" t="str">
        <f>B95</f>
        <v>DCA-RELATED COSTS</v>
      </c>
      <c r="P95" s="363"/>
      <c r="Q95" s="363"/>
      <c r="S95" s="363"/>
      <c r="T95" s="363"/>
      <c r="V95" s="1176"/>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2744"/>
      <c r="H96" s="2745"/>
      <c r="J96" s="363"/>
      <c r="K96" s="363"/>
      <c r="L96" s="1580"/>
      <c r="M96" s="363"/>
      <c r="N96" s="363"/>
      <c r="P96" s="363"/>
      <c r="Q96" s="363"/>
      <c r="S96" s="2744"/>
      <c r="T96" s="2745"/>
      <c r="V96" s="2343"/>
      <c r="W96" s="2853"/>
      <c r="X96" s="2854"/>
    </row>
    <row r="97" spans="1:24" s="305" customFormat="1" ht="12.6" customHeight="1">
      <c r="B97" s="305" t="str">
        <f>CONCATENATE("Tax Credit Application Fee ($",'DCA Underwriting Assumptions'!$Q$84, " ForProf/JntVent, $",'DCA Underwriting Assumptions'!$Q$85, " NonProf)")</f>
        <v>Tax Credit Application Fee ($6500 ForProf/JntVent, $5500 NonProf)</v>
      </c>
      <c r="G97" s="2755">
        <v>5500</v>
      </c>
      <c r="H97" s="2756"/>
      <c r="J97" s="363"/>
      <c r="K97" s="363"/>
      <c r="L97" s="370"/>
      <c r="M97" s="363"/>
      <c r="N97" s="363"/>
      <c r="P97" s="363"/>
      <c r="Q97" s="363"/>
      <c r="S97" s="2755">
        <v>5500</v>
      </c>
      <c r="T97" s="2756"/>
      <c r="V97" s="2343"/>
      <c r="W97" s="2853"/>
      <c r="X97" s="2854"/>
    </row>
    <row r="98" spans="1:24" s="305" customFormat="1" ht="12.6" customHeight="1">
      <c r="B98" s="305" t="s">
        <v>3983</v>
      </c>
      <c r="G98" s="2755">
        <v>2000</v>
      </c>
      <c r="H98" s="2756"/>
      <c r="J98" s="363"/>
      <c r="K98" s="363"/>
      <c r="L98" s="370"/>
      <c r="M98" s="363"/>
      <c r="N98" s="363"/>
      <c r="O98" s="1570"/>
      <c r="P98" s="363"/>
      <c r="Q98" s="363"/>
      <c r="S98" s="2755">
        <v>2000</v>
      </c>
      <c r="T98" s="2756"/>
      <c r="V98" s="2343"/>
      <c r="W98" s="2853"/>
      <c r="X98" s="2854"/>
    </row>
    <row r="99" spans="1:24" s="305" customFormat="1" ht="12.6" customHeight="1">
      <c r="B99" s="305" t="s">
        <v>524</v>
      </c>
      <c r="E99" s="2894">
        <f>'DCA Underwriting Assumptions'!$Q$88*J175</f>
        <v>69938.960000000006</v>
      </c>
      <c r="F99" s="2895"/>
      <c r="G99" s="2755">
        <v>69939</v>
      </c>
      <c r="H99" s="2756"/>
      <c r="J99" s="1055" t="str">
        <f>IF(E99&gt;G99,"WARNING!  LIHTC Allocation Fee proposed is below minimum required.","")</f>
        <v/>
      </c>
      <c r="K99" s="363"/>
      <c r="L99" s="1580"/>
      <c r="M99" s="363"/>
      <c r="N99" s="363"/>
      <c r="O99" s="1570"/>
      <c r="P99" s="363"/>
      <c r="Q99" s="363"/>
      <c r="S99" s="2755">
        <v>69939</v>
      </c>
      <c r="T99" s="2756"/>
      <c r="V99" s="2343"/>
      <c r="W99" s="2853"/>
      <c r="X99" s="2854"/>
    </row>
    <row r="100" spans="1:24" s="305" customFormat="1" ht="12.6" customHeight="1">
      <c r="B100" s="305" t="s">
        <v>761</v>
      </c>
      <c r="E100" s="2894">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81400</v>
      </c>
      <c r="F100" s="2895"/>
      <c r="G100" s="2755">
        <v>81400</v>
      </c>
      <c r="H100" s="2756"/>
      <c r="J100" s="1055" t="str">
        <f>IF(E100&gt;G100,"WARNING!  LIHTC Compliance Fee proposed is below minimum required.","")</f>
        <v/>
      </c>
      <c r="K100" s="280"/>
      <c r="L100" s="280"/>
      <c r="M100" s="280"/>
      <c r="N100" s="280"/>
      <c r="O100" s="280"/>
      <c r="P100" s="280"/>
      <c r="Q100" s="280"/>
      <c r="S100" s="2755">
        <v>81400</v>
      </c>
      <c r="T100" s="2756"/>
      <c r="V100" s="2343"/>
      <c r="W100" s="2853"/>
      <c r="X100" s="2854"/>
    </row>
    <row r="101" spans="1:24" s="305" customFormat="1" ht="12.6" customHeight="1">
      <c r="B101" s="305" t="s">
        <v>4297</v>
      </c>
      <c r="F101" s="1387">
        <f>'DCA Underwriting Assumptions'!$Q$90</f>
        <v>3000</v>
      </c>
      <c r="G101" s="2755">
        <v>3000</v>
      </c>
      <c r="H101" s="2756"/>
      <c r="J101" s="280"/>
      <c r="K101" s="280"/>
      <c r="L101" s="280"/>
      <c r="M101" s="280"/>
      <c r="N101" s="280"/>
      <c r="O101" s="280"/>
      <c r="P101" s="280"/>
      <c r="Q101" s="280"/>
      <c r="S101" s="2755">
        <v>3000</v>
      </c>
      <c r="T101" s="2756"/>
      <c r="V101" s="2343"/>
      <c r="W101" s="2853"/>
      <c r="X101" s="2854"/>
    </row>
    <row r="102" spans="1:24" s="305" customFormat="1" ht="12.6" customHeight="1">
      <c r="B102" s="305" t="s">
        <v>4298</v>
      </c>
      <c r="F102" s="1387">
        <f>'DCA Underwriting Assumptions'!$Q$111</f>
        <v>3000</v>
      </c>
      <c r="G102" s="2755">
        <v>3000</v>
      </c>
      <c r="H102" s="2756"/>
      <c r="J102" s="280"/>
      <c r="K102" s="280"/>
      <c r="L102" s="280"/>
      <c r="M102" s="280"/>
      <c r="N102" s="280"/>
      <c r="O102" s="280"/>
      <c r="P102" s="280"/>
      <c r="Q102" s="280"/>
      <c r="S102" s="2755">
        <v>3000</v>
      </c>
      <c r="T102" s="2756"/>
      <c r="V102" s="2343"/>
      <c r="W102" s="2853"/>
      <c r="X102" s="2854"/>
    </row>
    <row r="103" spans="1:24" s="305" customFormat="1" ht="12.6" customHeight="1">
      <c r="A103" s="387" t="str">
        <f>IF(AND(G103&gt;0,OR(C103="",C103="&lt;Enter detailed description here; use Comments section if needed&gt;")),"X","")</f>
        <v/>
      </c>
      <c r="B103" s="305" t="s">
        <v>749</v>
      </c>
      <c r="C103" s="2889" t="s">
        <v>3738</v>
      </c>
      <c r="D103" s="2889"/>
      <c r="E103" s="2889"/>
      <c r="F103" s="2890"/>
      <c r="G103" s="2755"/>
      <c r="H103" s="2756"/>
      <c r="J103" s="280"/>
      <c r="K103" s="280"/>
      <c r="L103" s="280"/>
      <c r="M103" s="280"/>
      <c r="N103" s="280"/>
      <c r="O103" s="280"/>
      <c r="P103" s="280"/>
      <c r="Q103" s="280"/>
      <c r="S103" s="2755"/>
      <c r="T103" s="2756"/>
      <c r="U103" s="386" t="str">
        <f>IF(AND(G103&gt;0,OR(C103="",C103="&lt;Enter detailed description here; use Comments section if needed&gt;")),"NO DESCRIPTION PROVIDED - please enter detailed description in Other box at left; use Comments section below if needed.","")</f>
        <v/>
      </c>
      <c r="V103" s="2343"/>
      <c r="W103" s="2853"/>
      <c r="X103" s="2854"/>
    </row>
    <row r="104" spans="1:24" s="305" customFormat="1" ht="12.6" customHeight="1" thickBot="1">
      <c r="A104" s="387" t="str">
        <f>IF(AND(G104&gt;0,OR(C104="",C104="&lt;Enter detailed description here; use Comments section if needed&gt;")),"X","")</f>
        <v/>
      </c>
      <c r="B104" s="305" t="s">
        <v>749</v>
      </c>
      <c r="C104" s="2887" t="s">
        <v>3738</v>
      </c>
      <c r="D104" s="2887"/>
      <c r="E104" s="2887"/>
      <c r="F104" s="2888"/>
      <c r="G104" s="2733"/>
      <c r="H104" s="2734"/>
      <c r="J104" s="280"/>
      <c r="K104" s="280"/>
      <c r="L104" s="280"/>
      <c r="M104" s="280"/>
      <c r="N104" s="280"/>
      <c r="O104" s="280"/>
      <c r="P104" s="280"/>
      <c r="Q104" s="280"/>
      <c r="S104" s="2733"/>
      <c r="T104" s="2734"/>
      <c r="U104" s="386" t="str">
        <f>IF(AND(G104&gt;0,OR(C104="",C104="&lt;Enter detailed description here; use Comments section if needed&gt;")),"NO DESCRIPTION PROVIDED - please enter detailed description in Other box at left; use Comments section below if needed.","")</f>
        <v/>
      </c>
      <c r="V104" s="2343"/>
      <c r="W104" s="2892"/>
      <c r="X104" s="2893"/>
    </row>
    <row r="105" spans="1:24" s="305" customFormat="1" ht="12.6" customHeight="1" thickTop="1">
      <c r="F105" s="361" t="s">
        <v>193</v>
      </c>
      <c r="G105" s="2857">
        <f>SUM(G96:H104)</f>
        <v>164839</v>
      </c>
      <c r="H105" s="2858"/>
      <c r="J105" s="363"/>
      <c r="K105" s="363"/>
      <c r="L105" s="1580"/>
      <c r="M105" s="363"/>
      <c r="N105" s="363"/>
      <c r="P105" s="363"/>
      <c r="Q105" s="363"/>
      <c r="S105" s="2857">
        <f>SUM(S96:T104)</f>
        <v>164839</v>
      </c>
      <c r="T105" s="2858"/>
      <c r="V105" s="2345">
        <f>SUM(V96:V104)</f>
        <v>0</v>
      </c>
      <c r="W105" s="2350"/>
      <c r="X105" s="2351"/>
    </row>
    <row r="106" spans="1:24" s="305" customFormat="1" ht="13.15" customHeight="1">
      <c r="B106" s="307" t="s">
        <v>2315</v>
      </c>
      <c r="J106" s="363"/>
      <c r="K106" s="363"/>
      <c r="M106" s="363"/>
      <c r="N106" s="363"/>
      <c r="O106" s="362" t="str">
        <f>B106</f>
        <v>EQUITY COSTS</v>
      </c>
      <c r="P106" s="363"/>
      <c r="Q106" s="363"/>
      <c r="S106" s="363"/>
      <c r="T106" s="363"/>
      <c r="V106" s="1176"/>
      <c r="W106" s="305" t="str">
        <f>B106</f>
        <v>EQUITY COSTS</v>
      </c>
    </row>
    <row r="107" spans="1:24" s="305" customFormat="1" ht="12.6" customHeight="1">
      <c r="B107" s="305" t="s">
        <v>281</v>
      </c>
      <c r="G107" s="2744">
        <v>25000</v>
      </c>
      <c r="H107" s="2745"/>
      <c r="J107" s="2891"/>
      <c r="K107" s="2891"/>
      <c r="L107" s="1580"/>
      <c r="M107" s="2891"/>
      <c r="N107" s="2891"/>
      <c r="O107" s="1570"/>
      <c r="P107" s="2891"/>
      <c r="Q107" s="2891"/>
      <c r="S107" s="2744">
        <v>25000</v>
      </c>
      <c r="T107" s="2745"/>
      <c r="V107" s="2343"/>
      <c r="W107" s="2853"/>
      <c r="X107" s="2854"/>
    </row>
    <row r="108" spans="1:24" s="305" customFormat="1" ht="12.6" customHeight="1">
      <c r="B108" s="305" t="s">
        <v>282</v>
      </c>
      <c r="G108" s="2755">
        <v>20000</v>
      </c>
      <c r="H108" s="2756"/>
      <c r="J108" s="2891"/>
      <c r="K108" s="2891"/>
      <c r="L108" s="1580"/>
      <c r="M108" s="2891"/>
      <c r="N108" s="2891"/>
      <c r="O108" s="1570"/>
      <c r="P108" s="2891"/>
      <c r="Q108" s="2891"/>
      <c r="S108" s="2755">
        <v>20000</v>
      </c>
      <c r="T108" s="2756"/>
      <c r="V108" s="2343"/>
      <c r="W108" s="2853"/>
      <c r="X108" s="2854"/>
    </row>
    <row r="109" spans="1:24" s="305" customFormat="1" ht="12.6" customHeight="1">
      <c r="B109" s="305" t="s">
        <v>2402</v>
      </c>
      <c r="G109" s="2755"/>
      <c r="H109" s="2756"/>
      <c r="J109" s="2891"/>
      <c r="K109" s="2891"/>
      <c r="L109" s="1580"/>
      <c r="M109" s="2891"/>
      <c r="N109" s="2891"/>
      <c r="O109" s="1570"/>
      <c r="P109" s="2891"/>
      <c r="Q109" s="2891"/>
      <c r="S109" s="2755"/>
      <c r="T109" s="2756"/>
      <c r="V109" s="2343"/>
      <c r="W109" s="2853"/>
      <c r="X109" s="2854"/>
    </row>
    <row r="110" spans="1:24" s="305" customFormat="1" ht="12.6" customHeight="1" thickBot="1">
      <c r="A110" s="387" t="str">
        <f>IF(AND(G110&gt;0,OR(C110="",C110="&lt;Enter detailed description here; use Comments section if needed&gt;")),"X","")</f>
        <v/>
      </c>
      <c r="B110" s="305" t="s">
        <v>749</v>
      </c>
      <c r="C110" s="2855" t="s">
        <v>3738</v>
      </c>
      <c r="D110" s="2855"/>
      <c r="E110" s="2855"/>
      <c r="F110" s="2856"/>
      <c r="G110" s="2733"/>
      <c r="H110" s="2734"/>
      <c r="J110" s="2891"/>
      <c r="K110" s="2891"/>
      <c r="L110" s="1580"/>
      <c r="M110" s="2891"/>
      <c r="N110" s="2891"/>
      <c r="O110" s="1570"/>
      <c r="P110" s="2891"/>
      <c r="Q110" s="2891"/>
      <c r="S110" s="2733"/>
      <c r="T110" s="2734"/>
      <c r="U110" s="386" t="str">
        <f>IF(AND(G110&gt;0,OR(C110="",C110="&lt;Enter detailed description here; use Comments section if needed&gt;")),"NO DESCRIPTION PROVIDED - please enter detailed description in Other box at left; use Comments section below if needed.","")</f>
        <v/>
      </c>
      <c r="V110" s="2343"/>
      <c r="W110" s="2892"/>
      <c r="X110" s="2893"/>
    </row>
    <row r="111" spans="1:24" s="305" customFormat="1" ht="12.6" customHeight="1" thickTop="1">
      <c r="F111" s="361" t="s">
        <v>193</v>
      </c>
      <c r="G111" s="2857">
        <f>SUM(G107:H110)</f>
        <v>45000</v>
      </c>
      <c r="H111" s="2858"/>
      <c r="J111" s="2891"/>
      <c r="K111" s="2891"/>
      <c r="L111" s="1580"/>
      <c r="M111" s="2891"/>
      <c r="N111" s="2891"/>
      <c r="O111" s="1570"/>
      <c r="P111" s="2891"/>
      <c r="Q111" s="2891"/>
      <c r="S111" s="2857">
        <f>SUM(S107:T110)</f>
        <v>45000</v>
      </c>
      <c r="T111" s="2858"/>
      <c r="V111" s="2345">
        <f>SUM(V107:V110)</f>
        <v>0</v>
      </c>
      <c r="W111" s="2903"/>
      <c r="X111" s="2904"/>
    </row>
    <row r="112" spans="1:24" s="305" customFormat="1" ht="13.15" customHeight="1">
      <c r="B112" s="307" t="s">
        <v>283</v>
      </c>
      <c r="J112" s="363"/>
      <c r="K112" s="360"/>
      <c r="M112" s="363"/>
      <c r="N112" s="360"/>
      <c r="O112" s="362" t="str">
        <f>B112</f>
        <v>DEVELOPER'S FEE</v>
      </c>
      <c r="P112" s="363"/>
      <c r="Q112" s="360"/>
      <c r="S112" s="363"/>
      <c r="T112" s="360"/>
      <c r="V112" s="1176"/>
      <c r="W112" s="305" t="str">
        <f>B112</f>
        <v>DEVELOPER'S FEE</v>
      </c>
    </row>
    <row r="113" spans="1:24" s="305" customFormat="1" ht="12.6" customHeight="1">
      <c r="B113" s="305" t="s">
        <v>1874</v>
      </c>
      <c r="F113" s="412">
        <f>IF($G$118=0,0,G113/$G$118)</f>
        <v>0.1875</v>
      </c>
      <c r="G113" s="2896">
        <v>300000</v>
      </c>
      <c r="H113" s="2896"/>
      <c r="J113" s="2897">
        <v>300000</v>
      </c>
      <c r="K113" s="2898"/>
      <c r="L113" s="362"/>
      <c r="M113" s="2897"/>
      <c r="N113" s="2898"/>
      <c r="P113" s="2897"/>
      <c r="Q113" s="2898"/>
      <c r="S113" s="2897"/>
      <c r="T113" s="2898"/>
      <c r="V113" s="2343"/>
      <c r="W113" s="2853"/>
      <c r="X113" s="2854"/>
    </row>
    <row r="114" spans="1:24" s="305" customFormat="1" ht="12.6" customHeight="1">
      <c r="B114" s="305" t="s">
        <v>4249</v>
      </c>
      <c r="F114" s="2352">
        <v>1319840</v>
      </c>
      <c r="V114" s="2343"/>
      <c r="W114" s="2853"/>
      <c r="X114" s="2854"/>
    </row>
    <row r="115" spans="1:24" s="305" customFormat="1" ht="12.6" customHeight="1">
      <c r="B115" s="305" t="s">
        <v>1875</v>
      </c>
      <c r="F115" s="412">
        <f>IF($G$118=0,0,G115/$G$118)</f>
        <v>0</v>
      </c>
      <c r="G115" s="2744"/>
      <c r="H115" s="2745"/>
      <c r="J115" s="2744"/>
      <c r="K115" s="2745"/>
      <c r="L115" s="1580"/>
      <c r="M115" s="2744"/>
      <c r="N115" s="2745"/>
      <c r="P115" s="2744"/>
      <c r="Q115" s="2745"/>
      <c r="S115" s="2744"/>
      <c r="T115" s="2745"/>
      <c r="V115" s="2343"/>
      <c r="W115" s="2853"/>
      <c r="X115" s="2854"/>
    </row>
    <row r="116" spans="1:24" s="305" customFormat="1" ht="12.6" customHeight="1">
      <c r="B116" s="305" t="s">
        <v>3660</v>
      </c>
      <c r="F116" s="412">
        <f>IF($G$118=0,0,G116/$G$118)</f>
        <v>0</v>
      </c>
      <c r="G116" s="2755"/>
      <c r="H116" s="2756"/>
      <c r="J116" s="2755"/>
      <c r="K116" s="2756"/>
      <c r="L116" s="1580"/>
      <c r="M116" s="2755"/>
      <c r="N116" s="2756"/>
      <c r="P116" s="2755"/>
      <c r="Q116" s="2756"/>
      <c r="S116" s="2755"/>
      <c r="T116" s="2756"/>
      <c r="V116" s="2343"/>
      <c r="W116" s="2853"/>
      <c r="X116" s="2854"/>
    </row>
    <row r="117" spans="1:24" s="305" customFormat="1" ht="12.6" customHeight="1" thickBot="1">
      <c r="B117" s="305" t="s">
        <v>1867</v>
      </c>
      <c r="F117" s="412">
        <f>IF($G$118=0,0,G117/$G$118)</f>
        <v>0.8125</v>
      </c>
      <c r="G117" s="2733">
        <v>1300000</v>
      </c>
      <c r="H117" s="2734"/>
      <c r="J117" s="2733">
        <v>1300000</v>
      </c>
      <c r="K117" s="2734"/>
      <c r="L117" s="1580"/>
      <c r="M117" s="2733"/>
      <c r="N117" s="2734"/>
      <c r="P117" s="2733"/>
      <c r="Q117" s="2734"/>
      <c r="S117" s="2733"/>
      <c r="T117" s="2734"/>
      <c r="V117" s="2343"/>
      <c r="W117" s="2892"/>
      <c r="X117" s="2893"/>
    </row>
    <row r="118" spans="1:24" s="305" customFormat="1" ht="12.6" customHeight="1" thickTop="1">
      <c r="C118" s="386"/>
      <c r="F118" s="361" t="s">
        <v>193</v>
      </c>
      <c r="G118" s="2857">
        <f>SUM(G113:H117)</f>
        <v>1600000</v>
      </c>
      <c r="H118" s="2858"/>
      <c r="J118" s="2857">
        <f>SUM(J113:K117)</f>
        <v>1600000</v>
      </c>
      <c r="K118" s="2858"/>
      <c r="L118" s="1580"/>
      <c r="M118" s="2857">
        <f>SUM(M113:N117)</f>
        <v>0</v>
      </c>
      <c r="N118" s="2858"/>
      <c r="P118" s="2857">
        <f>SUM(P113:Q117)</f>
        <v>0</v>
      </c>
      <c r="Q118" s="2858"/>
      <c r="S118" s="2857">
        <f>SUM(S113:T117)</f>
        <v>0</v>
      </c>
      <c r="T118" s="2858"/>
      <c r="V118" s="2345">
        <f>SUM(V113:V117)</f>
        <v>0</v>
      </c>
      <c r="W118" s="2903"/>
      <c r="X118" s="2904"/>
    </row>
    <row r="119" spans="1:24" s="305" customFormat="1" ht="13.15" customHeight="1">
      <c r="B119" s="307" t="s">
        <v>1321</v>
      </c>
      <c r="J119" s="360"/>
      <c r="K119" s="360"/>
      <c r="M119" s="360"/>
      <c r="N119" s="360"/>
      <c r="O119" s="362" t="str">
        <f>B119</f>
        <v>START-UP AND RESERVES</v>
      </c>
      <c r="P119" s="360"/>
      <c r="Q119" s="360"/>
      <c r="S119" s="360"/>
      <c r="T119" s="360"/>
      <c r="V119" s="1176"/>
      <c r="W119" s="305" t="str">
        <f>B119</f>
        <v>START-UP AND RESERVES</v>
      </c>
    </row>
    <row r="120" spans="1:24" s="305" customFormat="1" ht="12.6" customHeight="1">
      <c r="B120" s="305" t="s">
        <v>253</v>
      </c>
      <c r="G120" s="2744">
        <v>1000</v>
      </c>
      <c r="H120" s="2745"/>
      <c r="J120" s="371"/>
      <c r="K120" s="371"/>
      <c r="L120" s="371"/>
      <c r="M120" s="371"/>
      <c r="N120" s="371"/>
      <c r="P120" s="371"/>
      <c r="Q120" s="371"/>
      <c r="S120" s="2744">
        <v>1000</v>
      </c>
      <c r="T120" s="2745"/>
      <c r="V120" s="2343"/>
      <c r="W120" s="2853"/>
      <c r="X120" s="2854"/>
    </row>
    <row r="121" spans="1:24" s="305" customFormat="1" ht="12.6" customHeight="1">
      <c r="B121" s="305" t="s">
        <v>1548</v>
      </c>
      <c r="F121" s="513">
        <f>+'Part VI-Revenues &amp; Expenses'!$P$175*('DCA Underwriting Assumptions'!$Q$110/12)</f>
        <v>74700.75</v>
      </c>
      <c r="G121" s="2755">
        <v>74701</v>
      </c>
      <c r="H121" s="2756"/>
      <c r="J121" s="1057" t="str">
        <f>IF(E121&gt;G121,"WARNING! Rent-Up Reserves proposed is below minimum - add comment.","")</f>
        <v/>
      </c>
      <c r="K121" s="1057"/>
      <c r="L121" s="1580"/>
      <c r="M121" s="1030"/>
      <c r="N121" s="1030"/>
      <c r="O121" s="1570"/>
      <c r="P121" s="1030"/>
      <c r="Q121" s="1030"/>
      <c r="R121" s="1570"/>
      <c r="S121" s="2755">
        <v>74701</v>
      </c>
      <c r="T121" s="2756"/>
      <c r="V121" s="2343"/>
      <c r="W121" s="2853"/>
      <c r="X121" s="2854"/>
    </row>
    <row r="122" spans="1:24" s="305" customFormat="1" ht="12.6" customHeight="1">
      <c r="B122" s="305" t="s">
        <v>684</v>
      </c>
      <c r="F122" s="514">
        <f>'Part VI-Revenues &amp; Expenses'!$P$175*('DCA Underwriting Assumptions'!$Q$109/12)+('Part VII-Pro Forma'!$B$23+'Part VII-Pro Forma'!$B$24+'Part VII-Pro Forma'!$B$25+'Part VII-Pro Forma'!$B$26)*'DCA Underwriting Assumptions'!$Q$108/(-12)</f>
        <v>180449.53570586094</v>
      </c>
      <c r="G122" s="2755">
        <v>180450</v>
      </c>
      <c r="H122" s="2756"/>
      <c r="J122" s="1057" t="str">
        <f>IF(E122&gt;G122,"WARNING! ODR proposed is below minimum - add comment.","")</f>
        <v/>
      </c>
      <c r="K122" s="370"/>
      <c r="L122" s="370"/>
      <c r="M122" s="370"/>
      <c r="N122" s="370"/>
      <c r="O122" s="1570"/>
      <c r="P122" s="370"/>
      <c r="Q122" s="370"/>
      <c r="R122" s="1570"/>
      <c r="S122" s="2755">
        <v>180450</v>
      </c>
      <c r="T122" s="2756"/>
      <c r="V122" s="2343"/>
      <c r="W122" s="2853"/>
      <c r="X122" s="2854"/>
    </row>
    <row r="123" spans="1:24" s="305" customFormat="1" ht="12.6" customHeight="1">
      <c r="B123" s="305" t="s">
        <v>1256</v>
      </c>
      <c r="G123" s="2755"/>
      <c r="H123" s="2756"/>
      <c r="J123" s="371"/>
      <c r="K123" s="371"/>
      <c r="L123" s="371"/>
      <c r="M123" s="371"/>
      <c r="N123" s="371"/>
      <c r="P123" s="371"/>
      <c r="Q123" s="371"/>
      <c r="S123" s="2755"/>
      <c r="T123" s="2756"/>
      <c r="V123" s="2343"/>
      <c r="W123" s="2853"/>
      <c r="X123" s="2854"/>
    </row>
    <row r="124" spans="1:24" s="305" customFormat="1" ht="12.6" customHeight="1">
      <c r="B124" s="305" t="s">
        <v>1257</v>
      </c>
      <c r="E124" s="901" t="s">
        <v>3589</v>
      </c>
      <c r="F124" s="481">
        <f>IF('Part VI-Revenues &amp; Expenses'!$O$62=0,0,G124/'Part VI-Revenues &amp; Expenses'!$O$62)</f>
        <v>923.07692307692309</v>
      </c>
      <c r="G124" s="2755">
        <v>60000</v>
      </c>
      <c r="H124" s="2756"/>
      <c r="J124" s="2744">
        <v>60000</v>
      </c>
      <c r="K124" s="2745"/>
      <c r="L124" s="1580"/>
      <c r="M124" s="2744"/>
      <c r="N124" s="2745"/>
      <c r="P124" s="2744"/>
      <c r="Q124" s="2745"/>
      <c r="S124" s="2755"/>
      <c r="T124" s="2756"/>
      <c r="V124" s="2343"/>
      <c r="W124" s="2853"/>
      <c r="X124" s="2854"/>
    </row>
    <row r="125" spans="1:24" s="305" customFormat="1" ht="12.6" customHeight="1" thickBot="1">
      <c r="A125" s="387" t="str">
        <f>IF(AND(G125&gt;0,OR(C125="",C125="&lt;Enter detailed description here; use Comments section if needed&gt;")),"X","")</f>
        <v/>
      </c>
      <c r="B125" s="305" t="s">
        <v>749</v>
      </c>
      <c r="C125" s="2855" t="s">
        <v>4583</v>
      </c>
      <c r="D125" s="2855"/>
      <c r="E125" s="2855"/>
      <c r="F125" s="2856"/>
      <c r="G125" s="2733">
        <v>31363</v>
      </c>
      <c r="H125" s="2734"/>
      <c r="J125" s="2860">
        <v>31363</v>
      </c>
      <c r="K125" s="2861"/>
      <c r="L125" s="1580"/>
      <c r="M125" s="2733"/>
      <c r="N125" s="2734"/>
      <c r="P125" s="2733"/>
      <c r="Q125" s="2734"/>
      <c r="S125" s="2733"/>
      <c r="T125" s="2734"/>
      <c r="U125" s="386" t="str">
        <f>IF(AND(G125&gt;0,OR(C125="",C125="&lt;Enter detailed description here; use Comments section if needed&gt;")),"NO DESCRIPTION PROVIDED - please enter detailed description in Other box at left; use Comments section below if needed.","")</f>
        <v/>
      </c>
      <c r="V125" s="2343"/>
      <c r="W125" s="2892"/>
      <c r="X125" s="2893"/>
    </row>
    <row r="126" spans="1:24" s="305" customFormat="1" ht="12.6" customHeight="1" thickTop="1">
      <c r="B126" s="372"/>
      <c r="F126" s="361" t="s">
        <v>193</v>
      </c>
      <c r="G126" s="2857">
        <f>SUM(G120:H125)</f>
        <v>347514</v>
      </c>
      <c r="H126" s="2858"/>
      <c r="J126" s="2857">
        <f>SUM(J124:K125)</f>
        <v>91363</v>
      </c>
      <c r="K126" s="2858"/>
      <c r="L126" s="1580"/>
      <c r="M126" s="2857">
        <f>SUM(M124:N125)</f>
        <v>0</v>
      </c>
      <c r="N126" s="2858"/>
      <c r="P126" s="2857">
        <f>SUM(P124:Q125)</f>
        <v>0</v>
      </c>
      <c r="Q126" s="2858"/>
      <c r="S126" s="2857">
        <f>SUM(S120:T125)</f>
        <v>256151</v>
      </c>
      <c r="T126" s="2858"/>
      <c r="V126" s="2345">
        <f>SUM(V120:V125)</f>
        <v>0</v>
      </c>
      <c r="W126" s="2903"/>
      <c r="X126" s="2904"/>
    </row>
    <row r="127" spans="1:24" s="305" customFormat="1" ht="13.15" customHeight="1">
      <c r="B127" s="307" t="s">
        <v>616</v>
      </c>
      <c r="C127" s="1559"/>
      <c r="H127" s="368"/>
      <c r="I127" s="368"/>
      <c r="J127" s="360"/>
      <c r="K127" s="360"/>
      <c r="M127" s="360"/>
      <c r="N127" s="360"/>
      <c r="O127" s="362" t="str">
        <f>B127</f>
        <v>OTHER COSTS</v>
      </c>
      <c r="P127" s="360"/>
      <c r="Q127" s="360"/>
      <c r="S127" s="360"/>
      <c r="T127" s="360"/>
      <c r="V127" s="1176"/>
      <c r="W127" s="305" t="str">
        <f>B127</f>
        <v>OTHER COSTS</v>
      </c>
    </row>
    <row r="128" spans="1:24" s="305" customFormat="1" ht="12.6" customHeight="1">
      <c r="B128" s="305" t="s">
        <v>617</v>
      </c>
      <c r="C128" s="1559"/>
      <c r="G128" s="2744"/>
      <c r="H128" s="2745"/>
      <c r="J128" s="2744"/>
      <c r="K128" s="2745"/>
      <c r="L128" s="362"/>
      <c r="M128" s="2744"/>
      <c r="N128" s="2745"/>
      <c r="P128" s="2744"/>
      <c r="Q128" s="2745"/>
      <c r="S128" s="2744"/>
      <c r="T128" s="2745"/>
      <c r="V128" s="2343"/>
      <c r="W128" s="2853"/>
      <c r="X128" s="2854"/>
    </row>
    <row r="129" spans="1:24" s="305" customFormat="1" ht="12.6" customHeight="1" thickBot="1">
      <c r="A129" s="387" t="str">
        <f>IF(AND(G129&gt;0,OR(C129="",C129="&lt;Enter detailed description here; use Comments section if needed&gt;")),"X","")</f>
        <v/>
      </c>
      <c r="B129" s="305" t="s">
        <v>749</v>
      </c>
      <c r="C129" s="2855" t="s">
        <v>4582</v>
      </c>
      <c r="D129" s="2855"/>
      <c r="E129" s="2855"/>
      <c r="F129" s="2856"/>
      <c r="G129" s="2733">
        <v>3000</v>
      </c>
      <c r="H129" s="2734"/>
      <c r="J129" s="2733"/>
      <c r="K129" s="2734"/>
      <c r="L129" s="1580"/>
      <c r="M129" s="2733"/>
      <c r="N129" s="2734"/>
      <c r="P129" s="2733"/>
      <c r="Q129" s="2734"/>
      <c r="S129" s="2733">
        <v>3000</v>
      </c>
      <c r="T129" s="2734"/>
      <c r="U129" s="386" t="str">
        <f>IF(AND(G129&gt;0,OR(C129="",C129="&lt;Enter detailed description here; use Comments section if needed&gt;")),"NO DESCRIPTION PROVIDED - please enter detailed description in Other box at left; use Comments section below if needed.","")</f>
        <v/>
      </c>
      <c r="V129" s="2343"/>
      <c r="W129" s="2892"/>
      <c r="X129" s="2893"/>
    </row>
    <row r="130" spans="1:24" s="305" customFormat="1" ht="12.6" customHeight="1" thickTop="1">
      <c r="C130" s="1559"/>
      <c r="F130" s="361" t="s">
        <v>193</v>
      </c>
      <c r="G130" s="2857">
        <f>SUM(G128:H129)</f>
        <v>3000</v>
      </c>
      <c r="H130" s="2858"/>
      <c r="J130" s="2857">
        <f>SUM(J128:K129)</f>
        <v>0</v>
      </c>
      <c r="K130" s="2858"/>
      <c r="L130" s="1580"/>
      <c r="M130" s="2857">
        <f>SUM(M128:N129)</f>
        <v>0</v>
      </c>
      <c r="N130" s="2858"/>
      <c r="P130" s="2857">
        <f>SUM(P128:Q129)</f>
        <v>0</v>
      </c>
      <c r="Q130" s="2858"/>
      <c r="S130" s="2857">
        <f>SUM(S128:T129)</f>
        <v>3000</v>
      </c>
      <c r="T130" s="2858"/>
      <c r="V130" s="2345">
        <f>SUM(V128:V129)</f>
        <v>0</v>
      </c>
      <c r="W130" s="2903"/>
      <c r="X130" s="2904"/>
    </row>
    <row r="131" spans="1:24" s="305" customFormat="1" ht="3" customHeight="1" thickBot="1">
      <c r="C131" s="1559"/>
      <c r="H131" s="368"/>
      <c r="I131" s="368"/>
      <c r="L131" s="1570"/>
      <c r="V131" s="1176"/>
      <c r="W131" s="2353"/>
      <c r="X131" s="2354"/>
    </row>
    <row r="132" spans="1:24" s="305" customFormat="1" ht="13.9" customHeight="1" thickBot="1">
      <c r="B132" s="311" t="s">
        <v>2786</v>
      </c>
      <c r="G132" s="2901">
        <f>G17+G23+G27+G33+G38+G41+G47+G64+G77+G83+G91+G105+G111+G118+G126+G130</f>
        <v>13639318</v>
      </c>
      <c r="H132" s="2902"/>
      <c r="J132" s="2901">
        <f>J17+J23+J27+J33+J38+J41+J47+J64+J77+J83+J91+J105+J111+J118+J126+J130</f>
        <v>13071128</v>
      </c>
      <c r="K132" s="2902"/>
      <c r="M132" s="2901">
        <f>M17+M23+M27+M33+M38+M41+M47+M64+M77+M83+M91+M105+M111+M118+M126+M130</f>
        <v>0</v>
      </c>
      <c r="N132" s="2902"/>
      <c r="P132" s="2901">
        <f>P17+P23+P27+P33+P38+P41+P47+P64+P77+P83+P91+P105+P111+P118+P126+P130</f>
        <v>0</v>
      </c>
      <c r="Q132" s="2902"/>
      <c r="S132" s="2901">
        <f>S17+S23+S27+S33+S38+S41+S47+S64+S77+S83+S91+S105+S111+S118+S126+S130</f>
        <v>616190</v>
      </c>
      <c r="T132" s="2902"/>
      <c r="V132" s="2355">
        <f>V17+V23+V27+V33+V38+V41+V47+V64+V77+V83+V91+V105+V111+V118+V126+V130</f>
        <v>0</v>
      </c>
      <c r="W132" s="2905"/>
      <c r="X132" s="2904"/>
    </row>
    <row r="133" spans="1:24" s="305" customFormat="1" ht="3" customHeight="1">
      <c r="C133" s="1559"/>
      <c r="H133" s="368"/>
      <c r="I133" s="368"/>
      <c r="L133" s="1570"/>
      <c r="V133" s="1176"/>
    </row>
    <row r="134" spans="1:24" s="305" customFormat="1" ht="13.9" customHeight="1">
      <c r="B134" s="524" t="s">
        <v>2782</v>
      </c>
      <c r="C134" s="522"/>
      <c r="D134" s="2911">
        <f>IF('Part VI-Revenues &amp; Expenses'!$O$62=0,0,G132/'Part VI-Revenues &amp; Expenses'!$O$62)</f>
        <v>209835.66153846154</v>
      </c>
      <c r="E134" s="2911"/>
      <c r="F134" s="523" t="s">
        <v>2781</v>
      </c>
      <c r="G134" s="2912">
        <f>IF('Part I-Project Information'!$P$71=0,0,G132/'Part I-Project Information'!$P$71)</f>
        <v>156.04198700347794</v>
      </c>
      <c r="H134" s="2913"/>
      <c r="I134" s="373"/>
      <c r="V134" s="1176"/>
    </row>
    <row r="135" spans="1:24" s="305" customFormat="1" ht="3" customHeight="1">
      <c r="I135" s="373"/>
      <c r="L135" s="373"/>
      <c r="V135" s="1176"/>
    </row>
    <row r="136" spans="1:24" s="305" customFormat="1" ht="3.6" customHeight="1" thickBot="1">
      <c r="D136" s="1559"/>
      <c r="E136" s="1559"/>
      <c r="I136" s="368"/>
      <c r="J136" s="368"/>
      <c r="K136" s="374"/>
      <c r="L136" s="310"/>
      <c r="P136" s="1570"/>
      <c r="V136" s="1176"/>
    </row>
    <row r="137" spans="1:24" s="305" customFormat="1" ht="25.9" customHeight="1">
      <c r="A137" s="437" t="s">
        <v>748</v>
      </c>
      <c r="B137" s="439" t="s">
        <v>1438</v>
      </c>
      <c r="C137" s="931"/>
      <c r="D137" s="1580"/>
      <c r="E137" s="1580"/>
      <c r="F137" s="1580"/>
      <c r="G137" s="1570"/>
      <c r="H137" s="1570"/>
      <c r="I137" s="375"/>
      <c r="J137" s="2843" t="s">
        <v>273</v>
      </c>
      <c r="K137" s="2844"/>
      <c r="M137" s="2843" t="s">
        <v>101</v>
      </c>
      <c r="N137" s="2844"/>
      <c r="P137" s="2843" t="s">
        <v>274</v>
      </c>
      <c r="Q137" s="2844"/>
      <c r="V137" s="1176"/>
      <c r="W137" s="438" t="str">
        <f>B137</f>
        <v>TAX CREDIT CALCULATION - BASIS METHOD</v>
      </c>
    </row>
    <row r="138" spans="1:24" s="305" customFormat="1" ht="15" customHeight="1" thickBot="1">
      <c r="B138" s="311" t="s">
        <v>2060</v>
      </c>
      <c r="D138" s="1580"/>
      <c r="E138" s="1580"/>
      <c r="I138" s="375"/>
      <c r="J138" s="2845"/>
      <c r="K138" s="2846"/>
      <c r="L138" s="931"/>
      <c r="M138" s="2845"/>
      <c r="N138" s="2846"/>
      <c r="P138" s="2845"/>
      <c r="Q138" s="2846"/>
      <c r="V138" s="1176"/>
      <c r="W138" s="305" t="str">
        <f>B138</f>
        <v>Subtractions From Eligible Basis</v>
      </c>
      <c r="X138" s="347"/>
    </row>
    <row r="139" spans="1:24" s="305" customFormat="1" ht="6" customHeight="1">
      <c r="D139" s="1559"/>
      <c r="E139" s="1559"/>
      <c r="I139" s="368"/>
      <c r="J139" s="368"/>
      <c r="K139" s="374"/>
      <c r="L139" s="310"/>
      <c r="P139" s="1570"/>
      <c r="V139" s="1176"/>
    </row>
    <row r="140" spans="1:24" s="305" customFormat="1" ht="13.9" customHeight="1">
      <c r="B140" s="1559" t="s">
        <v>145</v>
      </c>
      <c r="D140" s="1570"/>
      <c r="E140" s="1570"/>
      <c r="F140" s="1570"/>
      <c r="G140" s="1570"/>
      <c r="H140" s="1570"/>
      <c r="I140" s="375"/>
      <c r="J140" s="2914"/>
      <c r="K140" s="2915"/>
      <c r="P140" s="2914"/>
      <c r="Q140" s="2915"/>
      <c r="V140" s="2343"/>
      <c r="W140" s="2853"/>
      <c r="X140" s="2854"/>
    </row>
    <row r="141" spans="1:24" s="305" customFormat="1" ht="13.9" customHeight="1">
      <c r="B141" s="1570" t="s">
        <v>2168</v>
      </c>
      <c r="D141" s="1570"/>
      <c r="E141" s="1570"/>
      <c r="F141" s="1570"/>
      <c r="G141" s="1570"/>
      <c r="H141" s="1570"/>
      <c r="I141" s="375"/>
      <c r="J141" s="2916"/>
      <c r="K141" s="2917"/>
      <c r="P141" s="2916"/>
      <c r="Q141" s="2917"/>
      <c r="V141" s="2343"/>
      <c r="W141" s="2853"/>
      <c r="X141" s="2854"/>
    </row>
    <row r="142" spans="1:24" s="305" customFormat="1" ht="13.9" customHeight="1">
      <c r="B142" s="1570" t="s">
        <v>1877</v>
      </c>
      <c r="D142" s="1570"/>
      <c r="E142" s="1570"/>
      <c r="I142" s="375"/>
      <c r="J142" s="2916"/>
      <c r="K142" s="2917"/>
      <c r="P142" s="2916"/>
      <c r="Q142" s="2917"/>
      <c r="V142" s="2343"/>
      <c r="W142" s="2853"/>
      <c r="X142" s="2854"/>
    </row>
    <row r="143" spans="1:24" s="305" customFormat="1" ht="13.9" customHeight="1">
      <c r="B143" s="1570" t="s">
        <v>1878</v>
      </c>
      <c r="D143" s="1570"/>
      <c r="E143" s="1570"/>
      <c r="I143" s="375"/>
      <c r="J143" s="2916"/>
      <c r="K143" s="2917"/>
      <c r="P143" s="2916"/>
      <c r="Q143" s="2917"/>
      <c r="V143" s="2343"/>
      <c r="W143" s="2853"/>
      <c r="X143" s="2854"/>
    </row>
    <row r="144" spans="1:24" s="305" customFormat="1" ht="13.9" customHeight="1">
      <c r="B144" s="1570" t="s">
        <v>256</v>
      </c>
      <c r="D144" s="1570"/>
      <c r="E144" s="1570"/>
      <c r="I144" s="375"/>
      <c r="J144" s="2916"/>
      <c r="K144" s="2917"/>
      <c r="P144" s="2916"/>
      <c r="Q144" s="2917"/>
      <c r="V144" s="2343"/>
      <c r="W144" s="2853"/>
      <c r="X144" s="2854"/>
    </row>
    <row r="145" spans="1:24" s="305" customFormat="1" ht="13.9" customHeight="1" thickBot="1">
      <c r="B145" s="1570" t="s">
        <v>1613</v>
      </c>
      <c r="C145" s="2918" t="s">
        <v>2431</v>
      </c>
      <c r="D145" s="2918"/>
      <c r="E145" s="2918"/>
      <c r="F145" s="2918"/>
      <c r="G145" s="2918"/>
      <c r="H145" s="2918"/>
      <c r="I145" s="2919"/>
      <c r="J145" s="2899"/>
      <c r="K145" s="2900"/>
      <c r="P145" s="2899"/>
      <c r="Q145" s="2900"/>
      <c r="V145" s="2343"/>
      <c r="W145" s="2892"/>
      <c r="X145" s="2893"/>
    </row>
    <row r="146" spans="1:24" s="305" customFormat="1" ht="13.9" customHeight="1" thickBot="1">
      <c r="B146" s="316" t="s">
        <v>1879</v>
      </c>
      <c r="C146" s="319"/>
      <c r="J146" s="2820">
        <f>SUM(J140:K145)</f>
        <v>0</v>
      </c>
      <c r="K146" s="2821"/>
      <c r="P146" s="2820">
        <f>SUM(P140:Q145)</f>
        <v>0</v>
      </c>
      <c r="Q146" s="2821"/>
      <c r="V146" s="2345">
        <f>SUM(V140:V145)</f>
        <v>0</v>
      </c>
      <c r="W146" s="2903"/>
      <c r="X146" s="2904"/>
    </row>
    <row r="147" spans="1:24" s="305" customFormat="1" ht="3" customHeight="1">
      <c r="V147" s="1176"/>
    </row>
    <row r="148" spans="1:24" s="305" customFormat="1" ht="15" customHeight="1" thickBot="1">
      <c r="B148" s="307" t="s">
        <v>2356</v>
      </c>
      <c r="V148" s="1176"/>
      <c r="W148" s="305" t="str">
        <f>B148</f>
        <v>Eligible Basis Calculation</v>
      </c>
    </row>
    <row r="149" spans="1:24" s="305" customFormat="1" ht="13.9" customHeight="1">
      <c r="B149" s="305" t="s">
        <v>1803</v>
      </c>
      <c r="J149" s="2906">
        <f>J132</f>
        <v>13071128</v>
      </c>
      <c r="K149" s="2907"/>
      <c r="M149" s="2908">
        <f>M132</f>
        <v>0</v>
      </c>
      <c r="N149" s="2909"/>
      <c r="P149" s="2906">
        <f>P132</f>
        <v>0</v>
      </c>
      <c r="Q149" s="2907"/>
      <c r="V149" s="2343"/>
      <c r="W149" s="2853"/>
      <c r="X149" s="2854"/>
    </row>
    <row r="150" spans="1:24" s="305" customFormat="1" ht="13.9" customHeight="1">
      <c r="B150" s="305" t="s">
        <v>2236</v>
      </c>
      <c r="J150" s="2920">
        <f>J146</f>
        <v>0</v>
      </c>
      <c r="K150" s="2921"/>
      <c r="M150" s="2922"/>
      <c r="N150" s="2922"/>
      <c r="P150" s="2920">
        <f>P146</f>
        <v>0</v>
      </c>
      <c r="Q150" s="2921"/>
      <c r="V150" s="2343"/>
      <c r="W150" s="2853"/>
      <c r="X150" s="2854"/>
    </row>
    <row r="151" spans="1:24" s="305" customFormat="1" ht="13.9" customHeight="1">
      <c r="B151" s="305" t="s">
        <v>2237</v>
      </c>
      <c r="J151" s="2920">
        <f>J149-J150</f>
        <v>13071128</v>
      </c>
      <c r="K151" s="2921"/>
      <c r="M151" s="2920">
        <f>M149</f>
        <v>0</v>
      </c>
      <c r="N151" s="2921"/>
      <c r="P151" s="2920">
        <f>P149-P150</f>
        <v>0</v>
      </c>
      <c r="Q151" s="2921"/>
      <c r="V151" s="2343"/>
      <c r="W151" s="2853"/>
      <c r="X151" s="2854"/>
    </row>
    <row r="152" spans="1:24" s="305" customFormat="1" ht="13.9" customHeight="1">
      <c r="B152" s="305" t="s">
        <v>1497</v>
      </c>
      <c r="G152" s="1561" t="s">
        <v>1727</v>
      </c>
      <c r="H152" s="2446" t="s">
        <v>4587</v>
      </c>
      <c r="I152" s="2447"/>
      <c r="J152" s="2923">
        <v>1.3</v>
      </c>
      <c r="K152" s="2924"/>
      <c r="M152" s="2925"/>
      <c r="N152" s="2925"/>
      <c r="P152" s="2923"/>
      <c r="Q152" s="2924"/>
      <c r="V152" s="2343"/>
      <c r="W152" s="2853"/>
      <c r="X152" s="2854"/>
    </row>
    <row r="153" spans="1:24" s="305" customFormat="1" ht="13.9" customHeight="1">
      <c r="B153" s="305" t="s">
        <v>2070</v>
      </c>
      <c r="J153" s="2920">
        <f>J151*J152</f>
        <v>16992466.400000002</v>
      </c>
      <c r="K153" s="2921"/>
      <c r="M153" s="2920">
        <f>+M151</f>
        <v>0</v>
      </c>
      <c r="N153" s="2921"/>
      <c r="P153" s="2920">
        <f>P151*P152</f>
        <v>0</v>
      </c>
      <c r="Q153" s="2921"/>
      <c r="V153" s="2343"/>
      <c r="W153" s="2853"/>
      <c r="X153" s="2854"/>
    </row>
    <row r="154" spans="1:24" s="305" customFormat="1" ht="13.9" customHeight="1">
      <c r="B154" s="305" t="s">
        <v>2558</v>
      </c>
      <c r="J154" s="2926">
        <f>MIN('Part VI-Revenues &amp; Expenses'!$O$58/'Part VI-Revenues &amp; Expenses'!$O$60,'Part VI-Revenues &amp; Expenses'!$O$115/'Part VI-Revenues &amp; Expenses'!$O$117)</f>
        <v>1</v>
      </c>
      <c r="K154" s="2927"/>
      <c r="M154" s="2926">
        <f>MIN('Part VI-Revenues &amp; Expenses'!$O$58/'Part VI-Revenues &amp; Expenses'!$O$60,'Part VI-Revenues &amp; Expenses'!$O$115/'Part VI-Revenues &amp; Expenses'!$O$117)</f>
        <v>1</v>
      </c>
      <c r="N154" s="2927"/>
      <c r="P154" s="2926">
        <f>MIN('Part VI-Revenues &amp; Expenses'!$O$58/'Part VI-Revenues &amp; Expenses'!$O$60,'Part VI-Revenues &amp; Expenses'!$O$115/'Part VI-Revenues &amp; Expenses'!$O$117)</f>
        <v>1</v>
      </c>
      <c r="Q154" s="2927"/>
      <c r="V154" s="2343"/>
      <c r="W154" s="2853"/>
      <c r="X154" s="2854"/>
    </row>
    <row r="155" spans="1:24" s="305" customFormat="1" ht="13.9" customHeight="1">
      <c r="B155" s="305" t="s">
        <v>2061</v>
      </c>
      <c r="J155" s="2920">
        <f>J153*J154</f>
        <v>16992466.400000002</v>
      </c>
      <c r="K155" s="2921"/>
      <c r="M155" s="2920">
        <f>M153*M154</f>
        <v>0</v>
      </c>
      <c r="N155" s="2921"/>
      <c r="P155" s="2920">
        <f>P153*P154</f>
        <v>0</v>
      </c>
      <c r="Q155" s="2921"/>
      <c r="V155" s="2343"/>
      <c r="W155" s="2853"/>
      <c r="X155" s="2854"/>
    </row>
    <row r="156" spans="1:24" s="305" customFormat="1" ht="13.9" customHeight="1">
      <c r="B156" s="305" t="s">
        <v>2062</v>
      </c>
      <c r="J156" s="2923">
        <v>0.09</v>
      </c>
      <c r="K156" s="2924"/>
      <c r="M156" s="2923"/>
      <c r="N156" s="2924"/>
      <c r="P156" s="2923"/>
      <c r="Q156" s="2924"/>
      <c r="V156" s="2343"/>
      <c r="W156" s="2853"/>
      <c r="X156" s="2854"/>
    </row>
    <row r="157" spans="1:24" s="305" customFormat="1" ht="13.9" customHeight="1" thickBot="1">
      <c r="B157" s="305" t="s">
        <v>2559</v>
      </c>
      <c r="J157" s="2928">
        <f>J155*J156</f>
        <v>1529321.9760000003</v>
      </c>
      <c r="K157" s="2929"/>
      <c r="M157" s="2928">
        <f>M155*M156</f>
        <v>0</v>
      </c>
      <c r="N157" s="2929"/>
      <c r="P157" s="2928">
        <f>P155*P156</f>
        <v>0</v>
      </c>
      <c r="Q157" s="2929"/>
      <c r="V157" s="2356"/>
      <c r="W157" s="2892"/>
      <c r="X157" s="2893"/>
    </row>
    <row r="158" spans="1:24" s="305" customFormat="1" ht="13.9" customHeight="1" thickBot="1">
      <c r="B158" s="307" t="s">
        <v>1436</v>
      </c>
      <c r="J158" s="2820">
        <f>J157+M157+P157</f>
        <v>1529321.9760000003</v>
      </c>
      <c r="K158" s="2910"/>
      <c r="L158" s="2910"/>
      <c r="M158" s="2910"/>
      <c r="N158" s="2910"/>
      <c r="O158" s="2910"/>
      <c r="P158" s="2910"/>
      <c r="Q158" s="2821"/>
      <c r="V158" s="2345"/>
      <c r="W158" s="2350"/>
      <c r="X158" s="2351"/>
    </row>
    <row r="159" spans="1:24" s="305" customFormat="1" ht="6" customHeight="1">
      <c r="B159" s="376"/>
      <c r="L159" s="377"/>
      <c r="M159" s="377"/>
      <c r="N159" s="377"/>
      <c r="O159" s="377"/>
      <c r="V159" s="1176"/>
    </row>
    <row r="160" spans="1:24" s="305" customFormat="1" ht="13.9" customHeight="1">
      <c r="A160" s="438" t="s">
        <v>750</v>
      </c>
      <c r="B160" s="438" t="s">
        <v>1439</v>
      </c>
      <c r="H160" s="368"/>
      <c r="I160" s="368"/>
      <c r="L160" s="1570"/>
      <c r="M160" s="497"/>
      <c r="N160" s="1570"/>
      <c r="O160" s="1570"/>
      <c r="P160" s="1570"/>
      <c r="Q160" s="1570"/>
      <c r="R160" s="1570"/>
      <c r="S160" s="1570"/>
      <c r="T160" s="1570"/>
      <c r="V160" s="1176"/>
    </row>
    <row r="161" spans="1:24" s="305" customFormat="1" ht="15" customHeight="1" thickBot="1">
      <c r="B161" s="307" t="s">
        <v>175</v>
      </c>
      <c r="H161" s="278"/>
      <c r="M161" s="497"/>
      <c r="N161" s="1570"/>
      <c r="O161" s="1570"/>
      <c r="P161" s="1570"/>
      <c r="Q161" s="1570"/>
      <c r="R161" s="1570"/>
      <c r="S161" s="1570"/>
      <c r="T161" s="1570"/>
      <c r="V161" s="1176"/>
      <c r="W161" s="438" t="str">
        <f>B160</f>
        <v>TAX CREDIT CALCULATION - GAP METHOD</v>
      </c>
    </row>
    <row r="162" spans="1:24" s="305" customFormat="1" ht="15" customHeight="1">
      <c r="B162" s="298" t="s">
        <v>2787</v>
      </c>
      <c r="G162" s="2961" t="str">
        <f>IF(J163&gt;J162,"TDC exceeds QAP PUCL!","")</f>
        <v/>
      </c>
      <c r="H162" s="2961"/>
      <c r="I162" s="2962"/>
      <c r="J162" s="2957">
        <f>'Part VIII-Threshold Criteria'!$P$63</f>
        <v>13663801</v>
      </c>
      <c r="K162" s="2958"/>
      <c r="L162" s="2959"/>
      <c r="M162" s="2938" t="s">
        <v>2764</v>
      </c>
      <c r="N162" s="2963"/>
      <c r="O162" s="2963"/>
      <c r="P162" s="2963"/>
      <c r="Q162" s="2963"/>
      <c r="R162" s="2939"/>
      <c r="S162" s="2938" t="s">
        <v>3701</v>
      </c>
      <c r="T162" s="2939"/>
      <c r="V162" s="2343"/>
      <c r="W162" s="2853"/>
      <c r="X162" s="2854"/>
    </row>
    <row r="163" spans="1:24" s="305" customFormat="1" ht="13.9" customHeight="1">
      <c r="B163" s="305" t="s">
        <v>2766</v>
      </c>
      <c r="J163" s="2942">
        <f>MIN(G132,J162,(G132-O165))</f>
        <v>13639318</v>
      </c>
      <c r="K163" s="2943"/>
      <c r="L163" s="2944"/>
      <c r="M163" s="2940"/>
      <c r="N163" s="2964"/>
      <c r="O163" s="2964"/>
      <c r="P163" s="2964"/>
      <c r="Q163" s="2964"/>
      <c r="R163" s="2941"/>
      <c r="S163" s="2940"/>
      <c r="T163" s="2941"/>
      <c r="V163" s="2343"/>
      <c r="W163" s="2853"/>
      <c r="X163" s="2854"/>
    </row>
    <row r="164" spans="1:24" s="305" customFormat="1" ht="13.9" customHeight="1">
      <c r="B164" s="305" t="s">
        <v>265</v>
      </c>
      <c r="J164" s="2920">
        <f>'Part III-Sources of Funds'!$I$58-'Part III-Sources of Funds'!$I$41-'Part III-Sources of Funds'!$I$42-'Part III-Sources of Funds'!$I$49-'Part III-Sources of Funds'!$I$50</f>
        <v>1400000</v>
      </c>
      <c r="K164" s="2922"/>
      <c r="L164" s="2945"/>
      <c r="M164" s="2940"/>
      <c r="N164" s="2964"/>
      <c r="O164" s="2964"/>
      <c r="P164" s="2964"/>
      <c r="Q164" s="2964"/>
      <c r="R164" s="2941"/>
      <c r="S164" s="2940"/>
      <c r="T164" s="2941"/>
      <c r="V164" s="2343"/>
      <c r="W164" s="2853"/>
      <c r="X164" s="2854"/>
    </row>
    <row r="165" spans="1:24" s="305" customFormat="1" ht="13.9" customHeight="1" thickBot="1">
      <c r="B165" s="305" t="s">
        <v>2248</v>
      </c>
      <c r="J165" s="2920">
        <f>+J163-J164</f>
        <v>12239318</v>
      </c>
      <c r="K165" s="2922"/>
      <c r="L165" s="2945"/>
      <c r="M165" s="2946" t="s">
        <v>2765</v>
      </c>
      <c r="N165" s="2947"/>
      <c r="O165" s="2948">
        <f>'Part III-Sources of Funds'!$I$41</f>
        <v>0</v>
      </c>
      <c r="P165" s="2948"/>
      <c r="Q165" s="2948"/>
      <c r="R165" s="2949"/>
      <c r="S165" s="424" t="s">
        <v>1675</v>
      </c>
      <c r="T165" s="2357" t="s">
        <v>3013</v>
      </c>
      <c r="V165" s="2343"/>
      <c r="W165" s="2853"/>
      <c r="X165" s="2854"/>
    </row>
    <row r="166" spans="1:24" s="305" customFormat="1" ht="13.9" customHeight="1">
      <c r="B166" s="305" t="s">
        <v>1298</v>
      </c>
      <c r="J166" s="2950" t="str">
        <f>"/ 10"</f>
        <v>/ 10</v>
      </c>
      <c r="K166" s="2950"/>
      <c r="L166" s="2950"/>
      <c r="M166" s="1570"/>
      <c r="N166" s="494"/>
      <c r="O166" s="494"/>
      <c r="P166" s="494"/>
      <c r="Q166" s="494"/>
      <c r="R166" s="494"/>
      <c r="V166" s="1176"/>
      <c r="W166" s="2853"/>
      <c r="X166" s="2854"/>
    </row>
    <row r="167" spans="1:24" s="305" customFormat="1" ht="13.9" customHeight="1">
      <c r="B167" s="305" t="s">
        <v>1299</v>
      </c>
      <c r="J167" s="2920">
        <f>J165/10</f>
        <v>1223931.8</v>
      </c>
      <c r="K167" s="2922"/>
      <c r="L167" s="2921"/>
      <c r="M167" s="324"/>
      <c r="N167" s="2511" t="s">
        <v>1300</v>
      </c>
      <c r="O167" s="2511"/>
      <c r="Q167" s="2511" t="s">
        <v>1812</v>
      </c>
      <c r="R167" s="2511"/>
      <c r="V167" s="2343"/>
      <c r="W167" s="2853"/>
      <c r="X167" s="2854"/>
    </row>
    <row r="168" spans="1:24" s="305" customFormat="1" ht="13.9" customHeight="1" thickBot="1">
      <c r="B168" s="305" t="s">
        <v>1496</v>
      </c>
      <c r="J168" s="2930">
        <f>N168+Q168</f>
        <v>1.4</v>
      </c>
      <c r="K168" s="2931"/>
      <c r="L168" s="2932"/>
      <c r="M168" s="1561" t="s">
        <v>1301</v>
      </c>
      <c r="N168" s="2933">
        <v>0.85</v>
      </c>
      <c r="O168" s="2934"/>
      <c r="P168" s="1561" t="s">
        <v>618</v>
      </c>
      <c r="Q168" s="2933">
        <v>0.55000000000000004</v>
      </c>
      <c r="R168" s="2934"/>
      <c r="V168" s="2343"/>
      <c r="W168" s="2853"/>
      <c r="X168" s="2854"/>
    </row>
    <row r="169" spans="1:24" s="305" customFormat="1" ht="13.9" customHeight="1" thickBot="1">
      <c r="B169" s="307" t="s">
        <v>1437</v>
      </c>
      <c r="J169" s="2820">
        <f>IF(J168=0,"",J167/J168)</f>
        <v>874237.00000000012</v>
      </c>
      <c r="K169" s="2910"/>
      <c r="L169" s="2821"/>
      <c r="M169" s="324"/>
      <c r="N169" s="1570"/>
      <c r="O169" s="1570"/>
      <c r="V169" s="2343"/>
      <c r="W169" s="2853"/>
      <c r="X169" s="2854"/>
    </row>
    <row r="170" spans="1:24" s="305" customFormat="1" ht="6" customHeight="1">
      <c r="J170" s="378"/>
      <c r="K170" s="378"/>
      <c r="L170" s="378"/>
      <c r="M170" s="324"/>
      <c r="N170" s="1571"/>
      <c r="O170" s="1571"/>
      <c r="V170" s="1176"/>
      <c r="W170" s="2853"/>
      <c r="X170" s="2854"/>
    </row>
    <row r="171" spans="1:24" s="305" customFormat="1" ht="16.149999999999999" customHeight="1">
      <c r="B171" s="307" t="s">
        <v>2919</v>
      </c>
      <c r="J171" s="2935">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874237.00000000012</v>
      </c>
      <c r="K171" s="2936"/>
      <c r="L171" s="2937"/>
      <c r="M171" s="324"/>
      <c r="N171" s="1571"/>
      <c r="O171" s="1571"/>
      <c r="V171" s="2343"/>
      <c r="W171" s="2853"/>
      <c r="X171" s="2854"/>
    </row>
    <row r="172" spans="1:24" s="305" customFormat="1" ht="3" customHeight="1">
      <c r="J172" s="378"/>
      <c r="K172" s="378"/>
      <c r="L172" s="378"/>
      <c r="M172" s="324"/>
      <c r="N172" s="1571"/>
      <c r="O172" s="1571"/>
      <c r="V172" s="1176"/>
      <c r="W172" s="2353"/>
      <c r="X172" s="2354"/>
    </row>
    <row r="173" spans="1:24" s="305" customFormat="1" ht="16.149999999999999" customHeight="1">
      <c r="B173" s="307" t="s">
        <v>351</v>
      </c>
      <c r="J173" s="2951">
        <v>874237</v>
      </c>
      <c r="K173" s="2952"/>
      <c r="L173" s="2953"/>
      <c r="M173" s="379" t="str">
        <f>IF(J171=0,"",IF(J173&gt;J171,"ALLOCATION CANNOT EXCEED MAXIMUM - REVISE REQUEST!",""))</f>
        <v/>
      </c>
      <c r="N173" s="1571"/>
      <c r="O173" s="1571"/>
      <c r="V173" s="2343"/>
      <c r="W173" s="2853"/>
      <c r="X173" s="2854"/>
    </row>
    <row r="174" spans="1:24" s="305" customFormat="1" ht="3" customHeight="1">
      <c r="J174" s="378"/>
      <c r="K174" s="378"/>
      <c r="L174" s="378"/>
      <c r="M174" s="324"/>
      <c r="N174" s="1571"/>
      <c r="O174" s="1571"/>
      <c r="V174" s="1176"/>
      <c r="W174" s="2353"/>
      <c r="X174" s="2354"/>
    </row>
    <row r="175" spans="1:24" s="305" customFormat="1" ht="16.149999999999999" customHeight="1">
      <c r="A175" s="438" t="s">
        <v>1805</v>
      </c>
      <c r="B175" s="438" t="s">
        <v>2637</v>
      </c>
      <c r="D175" s="324"/>
      <c r="E175" s="324"/>
      <c r="F175" s="310"/>
      <c r="J175" s="2954">
        <f>IF(J173="",0,+MIN(J171,J173))</f>
        <v>874237</v>
      </c>
      <c r="K175" s="2955"/>
      <c r="L175" s="2956"/>
      <c r="N175" s="2358"/>
      <c r="O175" s="2358"/>
      <c r="P175" s="2358"/>
      <c r="Q175" s="2358"/>
      <c r="R175" s="2358"/>
      <c r="S175" s="2358"/>
      <c r="T175" s="2358"/>
      <c r="V175" s="2343"/>
      <c r="W175" s="2853"/>
      <c r="X175" s="2854"/>
    </row>
    <row r="176" spans="1:24" ht="3" customHeight="1"/>
    <row r="177" spans="1:24" ht="6" customHeight="1"/>
    <row r="178" spans="1:24" ht="12" customHeight="1">
      <c r="A178" s="307" t="s">
        <v>1807</v>
      </c>
      <c r="B178" s="333" t="s">
        <v>577</v>
      </c>
      <c r="N178" s="307" t="s">
        <v>535</v>
      </c>
      <c r="O178" s="307" t="s">
        <v>80</v>
      </c>
    </row>
    <row r="179" spans="1:24" ht="352.5" customHeight="1">
      <c r="A179" s="2823" t="s">
        <v>4734</v>
      </c>
      <c r="B179" s="2823"/>
      <c r="C179" s="2823"/>
      <c r="D179" s="2823"/>
      <c r="E179" s="2823"/>
      <c r="F179" s="2823"/>
      <c r="G179" s="2823"/>
      <c r="H179" s="2823"/>
      <c r="I179" s="2823"/>
      <c r="J179" s="2823"/>
      <c r="K179" s="2823"/>
      <c r="L179" s="2823"/>
      <c r="M179" s="2823"/>
      <c r="N179" s="2960"/>
      <c r="O179" s="2960"/>
      <c r="P179" s="2960"/>
      <c r="Q179" s="2960"/>
      <c r="R179" s="2960"/>
      <c r="S179" s="2960"/>
      <c r="T179" s="2960"/>
      <c r="V179" s="1035"/>
      <c r="W179" s="2814" t="s">
        <v>2710</v>
      </c>
      <c r="X179" s="2814"/>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1"/>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CoyNS2isQkzrDhqMjA4GTibVtlGEIYcCqUaiC+nli10z/HEtXZDNTP1i3JU00BuGy7xrJgc9LnYnAkghSluS1Q==" saltValue="fq8SGXUhjRZSgV6/fLI7MA==" spinCount="100000" sheet="1" formatRows="0"/>
  <mergeCells count="671">
    <mergeCell ref="W149:X149"/>
    <mergeCell ref="W150:X150"/>
    <mergeCell ref="W151:X151"/>
    <mergeCell ref="W152:X152"/>
    <mergeCell ref="W162:X162"/>
    <mergeCell ref="W163:X163"/>
    <mergeCell ref="W164:X164"/>
    <mergeCell ref="W165:X165"/>
    <mergeCell ref="W166:X166"/>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61" zoomScaleNormal="100" workbookViewId="0">
      <selection sqref="A1:XFD1048576"/>
    </sheetView>
  </sheetViews>
  <sheetFormatPr defaultColWidth="9.140625" defaultRowHeight="12.75"/>
  <cols>
    <col min="1" max="1" width="7.140625" style="1490" customWidth="1"/>
    <col min="2" max="2" width="12.7109375" style="1490" customWidth="1"/>
    <col min="3" max="3" width="7.7109375" style="1490" customWidth="1"/>
    <col min="4" max="4" width="12.7109375" style="1490" customWidth="1"/>
    <col min="5" max="5" width="0.7109375" style="1490" customWidth="1"/>
    <col min="6" max="6" width="46.7109375" style="1490" customWidth="1"/>
    <col min="7" max="7" width="0.85546875" style="1490" customWidth="1"/>
    <col min="8" max="8" width="46.7109375" style="1490" customWidth="1"/>
    <col min="9" max="16384" width="9.140625" style="1490"/>
  </cols>
  <sheetData>
    <row r="1" spans="1:14" ht="15.75">
      <c r="A1" s="2966" t="str">
        <f>CONCATENATE("PART FOUR (b) -  OTHER COSTS","  -  ",'Part I-Project Information'!$O$6," - ",'Part I-Project Information'!$F$34,"  -  ",'Part I-Project Information'!$F$38,"  -  ",'Part I-Project Information'!$J$39,",  ","County")</f>
        <v>PART FOUR (b) -  OTHER COSTS  -  2018-013 - Tindall Fields III  -  Macon  -  Bibb,  County</v>
      </c>
      <c r="B1" s="2967"/>
      <c r="C1" s="2967"/>
      <c r="D1" s="2967"/>
      <c r="E1" s="2967"/>
      <c r="F1" s="2967"/>
      <c r="G1" s="2967"/>
      <c r="H1" s="2967"/>
      <c r="I1" s="1008"/>
      <c r="J1" s="1008"/>
      <c r="K1" s="1008"/>
      <c r="L1" s="1008"/>
      <c r="M1" s="1008"/>
      <c r="N1" s="1008"/>
    </row>
    <row r="2" spans="1:14" ht="9" customHeight="1"/>
    <row r="3" spans="1:14" ht="57" customHeight="1">
      <c r="A3" s="2968" t="s">
        <v>3740</v>
      </c>
      <c r="B3" s="2969"/>
      <c r="C3" s="2969"/>
      <c r="D3" s="2969"/>
      <c r="E3" s="2969"/>
      <c r="F3" s="2969"/>
      <c r="G3" s="2969"/>
      <c r="H3" s="2970"/>
    </row>
    <row r="4" spans="1:14" ht="6" customHeight="1"/>
    <row r="5" spans="1:14" ht="38.25" customHeight="1">
      <c r="A5" s="2971" t="s">
        <v>3859</v>
      </c>
      <c r="B5" s="2971"/>
      <c r="C5" s="2971"/>
      <c r="D5" s="2971"/>
      <c r="F5" s="1009" t="s">
        <v>3731</v>
      </c>
      <c r="G5" s="592"/>
      <c r="H5" s="1009" t="s">
        <v>3732</v>
      </c>
    </row>
    <row r="6" spans="1:14" ht="6.75" customHeight="1">
      <c r="A6" s="592"/>
      <c r="B6" s="592"/>
      <c r="C6" s="592"/>
      <c r="D6" s="592"/>
    </row>
    <row r="7" spans="1:14" s="2341" customFormat="1" ht="4.5" customHeight="1">
      <c r="A7" s="1010"/>
      <c r="B7" s="1010"/>
      <c r="C7" s="1010"/>
      <c r="D7" s="1010"/>
      <c r="E7" s="1010"/>
      <c r="F7" s="1010"/>
      <c r="G7" s="1010"/>
    </row>
    <row r="8" spans="1:14" s="2341" customFormat="1">
      <c r="A8" s="1019" t="s">
        <v>103</v>
      </c>
      <c r="B8" s="1011"/>
      <c r="C8" s="1011"/>
      <c r="D8" s="1011"/>
      <c r="E8" s="1011"/>
      <c r="F8" s="1011"/>
      <c r="G8" s="1011"/>
      <c r="H8" s="1011"/>
    </row>
    <row r="9" spans="1:14" s="2341" customFormat="1" ht="41.25" customHeight="1">
      <c r="A9" s="2972" t="str">
        <f>'Part IV-A-Uses of Funds'!$C$14</f>
        <v>&lt;&lt; Enter description here; provide detail &amp; justification in tab Part IV-b &gt;&gt;</v>
      </c>
      <c r="B9" s="2973"/>
      <c r="C9" s="2973"/>
      <c r="D9" s="2974"/>
      <c r="F9" s="2978"/>
      <c r="G9" s="1011"/>
      <c r="H9" s="2978"/>
    </row>
    <row r="10" spans="1:14" s="2341" customFormat="1" ht="41.25" customHeight="1">
      <c r="A10" s="2975"/>
      <c r="B10" s="2976"/>
      <c r="C10" s="2976"/>
      <c r="D10" s="2977"/>
      <c r="F10" s="2979"/>
      <c r="G10" s="1011"/>
      <c r="H10" s="2979"/>
    </row>
    <row r="11" spans="1:14" s="2341" customFormat="1" ht="4.5" customHeight="1">
      <c r="F11" s="2979"/>
      <c r="G11" s="1011"/>
      <c r="H11" s="2979"/>
    </row>
    <row r="12" spans="1:14" s="2341" customFormat="1" ht="15" customHeight="1">
      <c r="A12" s="1018" t="s">
        <v>3734</v>
      </c>
      <c r="B12" s="1017">
        <f>'Part IV-A-Uses of Funds'!$G$14</f>
        <v>0</v>
      </c>
      <c r="C12" s="1018" t="s">
        <v>1803</v>
      </c>
      <c r="D12" s="1017">
        <f>'Part IV-A-Uses of Funds'!$J$14+'Part IV-A-Uses of Funds'!$M$14+'Part IV-A-Uses of Funds'!$P$14</f>
        <v>0</v>
      </c>
      <c r="F12" s="2979"/>
      <c r="G12" s="1011"/>
      <c r="H12" s="2979"/>
    </row>
    <row r="13" spans="1:14" s="2341" customFormat="1" ht="6" customHeight="1">
      <c r="A13" s="1011"/>
      <c r="B13" s="1012"/>
      <c r="C13" s="1011"/>
      <c r="D13" s="1011"/>
      <c r="F13" s="2979"/>
      <c r="G13" s="1013"/>
      <c r="H13" s="2979"/>
    </row>
    <row r="14" spans="1:14" s="2341" customFormat="1" ht="41.25" customHeight="1">
      <c r="A14" s="2972" t="str">
        <f>'Part IV-A-Uses of Funds'!$C$15</f>
        <v>&lt;&lt; Enter description here; provide detail &amp; justification in tab Part IV-b &gt;&gt;</v>
      </c>
      <c r="B14" s="2973"/>
      <c r="C14" s="2973"/>
      <c r="D14" s="2974"/>
      <c r="F14" s="2979"/>
      <c r="G14" s="1011"/>
      <c r="H14" s="2979"/>
    </row>
    <row r="15" spans="1:14" s="2341" customFormat="1" ht="41.25" customHeight="1">
      <c r="A15" s="2975"/>
      <c r="B15" s="2976"/>
      <c r="C15" s="2976"/>
      <c r="D15" s="2977"/>
      <c r="F15" s="2979"/>
      <c r="G15" s="1011"/>
      <c r="H15" s="2979"/>
    </row>
    <row r="16" spans="1:14" s="2341" customFormat="1" ht="4.5" customHeight="1">
      <c r="F16" s="2979"/>
      <c r="G16" s="1011"/>
      <c r="H16" s="2979"/>
    </row>
    <row r="17" spans="1:8" s="2341" customFormat="1" ht="15" customHeight="1">
      <c r="A17" s="1018" t="s">
        <v>3734</v>
      </c>
      <c r="B17" s="1017">
        <f>'Part IV-A-Uses of Funds'!$G$15</f>
        <v>0</v>
      </c>
      <c r="C17" s="1018" t="s">
        <v>1803</v>
      </c>
      <c r="D17" s="1017">
        <f>'Part IV-A-Uses of Funds'!$J$15+'Part IV-A-Uses of Funds'!$M$15+'Part IV-A-Uses of Funds'!$P$15</f>
        <v>0</v>
      </c>
      <c r="F17" s="2979"/>
      <c r="G17" s="1011"/>
      <c r="H17" s="2979"/>
    </row>
    <row r="18" spans="1:8" s="2341" customFormat="1" ht="6" customHeight="1">
      <c r="A18" s="1011"/>
      <c r="B18" s="1012"/>
      <c r="C18" s="1011"/>
      <c r="D18" s="1011"/>
      <c r="F18" s="2979"/>
      <c r="G18" s="1013"/>
      <c r="H18" s="2979"/>
    </row>
    <row r="19" spans="1:8" s="2341" customFormat="1" ht="41.25" customHeight="1">
      <c r="A19" s="2972" t="str">
        <f>'Part IV-A-Uses of Funds'!$C$16</f>
        <v>&lt;&lt; Enter description here; provide detail &amp; justification in tab Part IV-b &gt;&gt;</v>
      </c>
      <c r="B19" s="2973"/>
      <c r="C19" s="2973"/>
      <c r="D19" s="2974"/>
      <c r="F19" s="2979"/>
      <c r="G19" s="1011"/>
      <c r="H19" s="2979"/>
    </row>
    <row r="20" spans="1:8" s="2341" customFormat="1" ht="41.25" customHeight="1">
      <c r="A20" s="2975"/>
      <c r="B20" s="2976"/>
      <c r="C20" s="2976"/>
      <c r="D20" s="2977"/>
      <c r="F20" s="2979"/>
      <c r="G20" s="1011"/>
      <c r="H20" s="2979"/>
    </row>
    <row r="21" spans="1:8" s="2341" customFormat="1" ht="4.5" customHeight="1">
      <c r="F21" s="2979"/>
      <c r="G21" s="1011"/>
      <c r="H21" s="2979"/>
    </row>
    <row r="22" spans="1:8" s="2341" customFormat="1" ht="15" customHeight="1">
      <c r="A22" s="1018" t="s">
        <v>3734</v>
      </c>
      <c r="B22" s="1017">
        <f>'Part IV-A-Uses of Funds'!$G$16</f>
        <v>0</v>
      </c>
      <c r="C22" s="1018" t="s">
        <v>1803</v>
      </c>
      <c r="D22" s="1017">
        <f>'Part IV-A-Uses of Funds'!$J$16+'Part IV-A-Uses of Funds'!$M$16+'Part IV-A-Uses of Funds'!$P$16</f>
        <v>0</v>
      </c>
      <c r="F22" s="2979"/>
      <c r="G22" s="1011"/>
      <c r="H22" s="2979"/>
    </row>
    <row r="23" spans="1:8" s="2341" customFormat="1" ht="6" customHeight="1">
      <c r="A23" s="1011"/>
      <c r="B23" s="1012"/>
      <c r="C23" s="1011"/>
      <c r="D23" s="1011"/>
      <c r="F23" s="2980"/>
      <c r="G23" s="1013"/>
      <c r="H23" s="2980"/>
    </row>
    <row r="24" spans="1:8" s="2341" customFormat="1">
      <c r="A24" s="1019" t="s">
        <v>3733</v>
      </c>
      <c r="B24" s="1011"/>
      <c r="C24" s="1011"/>
      <c r="D24" s="1011"/>
      <c r="E24" s="1011"/>
      <c r="F24" s="1011"/>
      <c r="G24" s="1011"/>
    </row>
    <row r="25" spans="1:8" s="2341" customFormat="1" ht="41.25" customHeight="1">
      <c r="A25" s="2972" t="str">
        <f>'Part IV-A-Uses of Funds'!$C$41</f>
        <v>&lt;&lt; Enter description here; provide detail &amp; justification in tab Part IV-b &gt;&gt;</v>
      </c>
      <c r="B25" s="2973"/>
      <c r="C25" s="2973"/>
      <c r="D25" s="2974"/>
      <c r="E25" s="1011"/>
      <c r="F25" s="2981"/>
      <c r="G25" s="1011"/>
      <c r="H25" s="2981"/>
    </row>
    <row r="26" spans="1:8" s="2341" customFormat="1" ht="41.25" customHeight="1">
      <c r="A26" s="2975"/>
      <c r="B26" s="2976"/>
      <c r="C26" s="2976"/>
      <c r="D26" s="2977"/>
      <c r="E26" s="1011"/>
      <c r="F26" s="2982"/>
      <c r="G26" s="1011"/>
      <c r="H26" s="2982"/>
    </row>
    <row r="27" spans="1:8" s="2341" customFormat="1" ht="4.5" customHeight="1">
      <c r="A27" s="1011"/>
      <c r="B27" s="1011"/>
      <c r="C27" s="1011"/>
      <c r="D27" s="1011"/>
      <c r="E27" s="1011"/>
      <c r="F27" s="2982"/>
      <c r="G27" s="1011"/>
      <c r="H27" s="2982"/>
    </row>
    <row r="28" spans="1:8" s="2341" customFormat="1" ht="25.5">
      <c r="A28" s="1018" t="s">
        <v>3734</v>
      </c>
      <c r="B28" s="1017">
        <f>'Part IV-A-Uses of Funds'!$G$41</f>
        <v>0</v>
      </c>
      <c r="C28" s="1018" t="s">
        <v>1803</v>
      </c>
      <c r="D28" s="1017">
        <f>'Part IV-A-Uses of Funds'!$J$41+'Part IV-A-Uses of Funds'!$M$41+'Part IV-A-Uses of Funds'!$P$41</f>
        <v>0</v>
      </c>
      <c r="E28" s="1011"/>
      <c r="F28" s="2982"/>
      <c r="G28" s="1011"/>
      <c r="H28" s="2982"/>
    </row>
    <row r="29" spans="1:8" s="2341" customFormat="1" ht="6" customHeight="1">
      <c r="A29" s="1011"/>
      <c r="B29" s="1012"/>
      <c r="C29" s="1011"/>
      <c r="D29" s="1011"/>
      <c r="E29" s="1011"/>
      <c r="F29" s="2983"/>
      <c r="G29" s="1013"/>
      <c r="H29" s="2983"/>
    </row>
    <row r="30" spans="1:8" s="2341" customFormat="1">
      <c r="A30" s="1019" t="s">
        <v>730</v>
      </c>
      <c r="B30" s="1011"/>
      <c r="C30" s="1011"/>
      <c r="D30" s="1011"/>
      <c r="E30" s="1011"/>
      <c r="F30" s="1011"/>
      <c r="G30" s="1011"/>
    </row>
    <row r="31" spans="1:8" s="2341" customFormat="1" ht="41.25" customHeight="1">
      <c r="A31" s="2984" t="str">
        <f>'Part IV-A-Uses of Funds'!$C$62</f>
        <v>Georgia Power Installation</v>
      </c>
      <c r="B31" s="2985"/>
      <c r="C31" s="2985"/>
      <c r="D31" s="2986"/>
      <c r="E31" s="1011"/>
      <c r="F31" s="2978" t="s">
        <v>4590</v>
      </c>
      <c r="G31" s="1011"/>
      <c r="H31" s="2978" t="s">
        <v>4591</v>
      </c>
    </row>
    <row r="32" spans="1:8" s="2341" customFormat="1" ht="41.25" customHeight="1">
      <c r="A32" s="2975"/>
      <c r="B32" s="2976"/>
      <c r="C32" s="2976"/>
      <c r="D32" s="2977"/>
      <c r="E32" s="1011"/>
      <c r="F32" s="2979"/>
      <c r="G32" s="1011"/>
      <c r="H32" s="2979"/>
    </row>
    <row r="33" spans="1:8" s="2341" customFormat="1" ht="4.5" customHeight="1">
      <c r="A33" s="1011"/>
      <c r="B33" s="1011"/>
      <c r="C33" s="1011"/>
      <c r="D33" s="1011"/>
      <c r="E33" s="1011"/>
      <c r="F33" s="2979"/>
      <c r="G33" s="1011"/>
      <c r="H33" s="2979"/>
    </row>
    <row r="34" spans="1:8" s="2341" customFormat="1" ht="14.25" customHeight="1">
      <c r="A34" s="1018" t="s">
        <v>3734</v>
      </c>
      <c r="B34" s="1017">
        <f>'Part IV-A-Uses of Funds'!$G$62</f>
        <v>5000</v>
      </c>
      <c r="C34" s="1018" t="s">
        <v>1803</v>
      </c>
      <c r="D34" s="1017">
        <f>'Part IV-A-Uses of Funds'!$J$62+'Part IV-A-Uses of Funds'!$M$62+'Part IV-A-Uses of Funds'!$P$62</f>
        <v>5000</v>
      </c>
      <c r="E34" s="1011"/>
      <c r="F34" s="2979"/>
      <c r="G34" s="1011"/>
      <c r="H34" s="2979"/>
    </row>
    <row r="35" spans="1:8" s="2341" customFormat="1" ht="6" customHeight="1">
      <c r="D35" s="1011"/>
      <c r="E35" s="1011"/>
      <c r="F35" s="2979"/>
      <c r="G35" s="1013"/>
      <c r="H35" s="2979"/>
    </row>
    <row r="36" spans="1:8" s="2341" customFormat="1" ht="41.25" customHeight="1">
      <c r="A36" s="2984" t="str">
        <f>'Part IV-A-Uses of Funds'!$C$63</f>
        <v>&lt;&lt; Enter description here; provide detail &amp; justification in tab Part IV-b &gt;&gt;</v>
      </c>
      <c r="B36" s="2985"/>
      <c r="C36" s="2985"/>
      <c r="D36" s="2986"/>
      <c r="E36" s="1011"/>
      <c r="F36" s="2979"/>
      <c r="G36" s="1011"/>
      <c r="H36" s="2979"/>
    </row>
    <row r="37" spans="1:8" s="2341" customFormat="1" ht="41.25" customHeight="1">
      <c r="A37" s="2975"/>
      <c r="B37" s="2976"/>
      <c r="C37" s="2976"/>
      <c r="D37" s="2977"/>
      <c r="E37" s="1011"/>
      <c r="F37" s="2979"/>
      <c r="G37" s="1011"/>
      <c r="H37" s="2979"/>
    </row>
    <row r="38" spans="1:8" s="2341" customFormat="1" ht="4.5" customHeight="1">
      <c r="A38" s="1011"/>
      <c r="B38" s="1011"/>
      <c r="C38" s="1011"/>
      <c r="D38" s="1011"/>
      <c r="E38" s="1011"/>
      <c r="F38" s="2979"/>
      <c r="G38" s="1011"/>
      <c r="H38" s="2979"/>
    </row>
    <row r="39" spans="1:8" s="2341" customFormat="1" ht="14.25" customHeight="1">
      <c r="A39" s="1018" t="s">
        <v>3734</v>
      </c>
      <c r="B39" s="1017">
        <f>'Part IV-A-Uses of Funds'!$G$63</f>
        <v>0</v>
      </c>
      <c r="C39" s="1018" t="s">
        <v>1803</v>
      </c>
      <c r="D39" s="1017">
        <f>'Part IV-A-Uses of Funds'!$J$63+'Part IV-A-Uses of Funds'!$M$63+'Part IV-A-Uses of Funds'!$P$63</f>
        <v>0</v>
      </c>
      <c r="E39" s="1011"/>
      <c r="F39" s="2979"/>
      <c r="G39" s="1011"/>
      <c r="H39" s="2979"/>
    </row>
    <row r="40" spans="1:8" s="2341" customFormat="1" ht="6" customHeight="1">
      <c r="D40" s="1011"/>
      <c r="E40" s="1011"/>
      <c r="F40" s="2980"/>
      <c r="G40" s="1013"/>
      <c r="H40" s="2980"/>
    </row>
    <row r="41" spans="1:8" s="2341" customFormat="1">
      <c r="A41" s="1019" t="s">
        <v>480</v>
      </c>
      <c r="B41" s="1011"/>
      <c r="C41" s="1011"/>
      <c r="D41" s="1011"/>
      <c r="E41" s="1015"/>
      <c r="F41" s="1015"/>
      <c r="G41" s="1011"/>
    </row>
    <row r="42" spans="1:8" s="2341" customFormat="1" ht="41.25" customHeight="1">
      <c r="A42" s="2984" t="str">
        <f>'Part IV-A-Uses of Funds'!$C$76</f>
        <v>&lt;&lt; Enter description here; provide detail &amp; justification in tab Part IV-b &gt;&gt;</v>
      </c>
      <c r="B42" s="2985"/>
      <c r="C42" s="2985"/>
      <c r="D42" s="2986"/>
      <c r="F42" s="2981"/>
      <c r="G42" s="1011"/>
      <c r="H42" s="2981"/>
    </row>
    <row r="43" spans="1:8" s="2341" customFormat="1" ht="41.25" customHeight="1">
      <c r="A43" s="2975"/>
      <c r="B43" s="2976"/>
      <c r="C43" s="2976"/>
      <c r="D43" s="2977"/>
      <c r="E43" s="1011"/>
      <c r="F43" s="2982"/>
      <c r="G43" s="1011"/>
      <c r="H43" s="2982"/>
    </row>
    <row r="44" spans="1:8" s="2341" customFormat="1" ht="4.5" customHeight="1">
      <c r="A44" s="1011"/>
      <c r="B44" s="1011"/>
      <c r="C44" s="1011"/>
      <c r="D44" s="1011"/>
      <c r="E44" s="1011"/>
      <c r="F44" s="2982"/>
      <c r="G44" s="1011"/>
      <c r="H44" s="2982"/>
    </row>
    <row r="45" spans="1:8" s="2341" customFormat="1" ht="13.5" customHeight="1">
      <c r="A45" s="1018" t="s">
        <v>3734</v>
      </c>
      <c r="B45" s="1017">
        <f>'Part IV-A-Uses of Funds'!$G$76</f>
        <v>0</v>
      </c>
      <c r="C45" s="1018" t="s">
        <v>1803</v>
      </c>
      <c r="D45" s="1017">
        <f>'Part IV-A-Uses of Funds'!$J$76+'Part IV-A-Uses of Funds'!$M$76+'Part IV-A-Uses of Funds'!$P$76</f>
        <v>0</v>
      </c>
      <c r="E45" s="1011"/>
      <c r="F45" s="2982"/>
      <c r="G45" s="1011"/>
      <c r="H45" s="2982"/>
    </row>
    <row r="46" spans="1:8" s="2341" customFormat="1" ht="6" customHeight="1">
      <c r="A46" s="1011"/>
      <c r="B46" s="1012"/>
      <c r="C46" s="1011"/>
      <c r="D46" s="1011"/>
      <c r="E46" s="1011"/>
      <c r="F46" s="2983"/>
      <c r="G46" s="1013"/>
      <c r="H46" s="2983"/>
    </row>
    <row r="47" spans="1:8" s="2341" customFormat="1">
      <c r="A47" s="1019" t="s">
        <v>732</v>
      </c>
      <c r="B47" s="1011"/>
      <c r="C47" s="1011"/>
      <c r="D47" s="1011"/>
      <c r="E47" s="1011"/>
      <c r="F47" s="1011"/>
      <c r="G47" s="1011"/>
    </row>
    <row r="48" spans="1:8" s="2341" customFormat="1" ht="41.25" customHeight="1">
      <c r="A48" s="2984" t="str">
        <f>'Part IV-A-Uses of Funds'!$C$90</f>
        <v>&lt;&lt; Enter description here; provide detail &amp; justification in tab Part IV-b &gt;&gt;</v>
      </c>
      <c r="B48" s="2985"/>
      <c r="C48" s="2985"/>
      <c r="D48" s="2986"/>
      <c r="F48" s="2981"/>
      <c r="G48" s="1011"/>
    </row>
    <row r="49" spans="1:7" s="2341" customFormat="1" ht="41.25" customHeight="1">
      <c r="A49" s="2975"/>
      <c r="B49" s="2976"/>
      <c r="C49" s="2976"/>
      <c r="D49" s="2977"/>
      <c r="E49" s="1011"/>
      <c r="F49" s="2982"/>
      <c r="G49" s="1011"/>
    </row>
    <row r="50" spans="1:7" s="2341" customFormat="1" ht="3" customHeight="1">
      <c r="A50" s="1011"/>
      <c r="B50" s="1011"/>
      <c r="C50" s="1011"/>
      <c r="D50" s="1011"/>
      <c r="E50" s="1011"/>
      <c r="F50" s="2982"/>
      <c r="G50" s="1011"/>
    </row>
    <row r="51" spans="1:7" s="2341" customFormat="1" ht="13.5" customHeight="1">
      <c r="A51" s="1018" t="s">
        <v>3734</v>
      </c>
      <c r="B51" s="1017">
        <f>'Part IV-A-Uses of Funds'!$G$90</f>
        <v>0</v>
      </c>
      <c r="C51" s="1014"/>
      <c r="D51" s="1014"/>
      <c r="E51" s="1011"/>
      <c r="F51" s="2982"/>
      <c r="G51" s="1011"/>
    </row>
    <row r="52" spans="1:7" s="2341" customFormat="1" ht="3.75" customHeight="1">
      <c r="A52" s="1011"/>
      <c r="B52" s="1011"/>
      <c r="C52" s="1011"/>
      <c r="D52" s="1011"/>
      <c r="E52" s="1011"/>
      <c r="F52" s="2983"/>
      <c r="G52" s="1013"/>
    </row>
    <row r="53" spans="1:7" s="2341" customFormat="1">
      <c r="A53" s="1019" t="s">
        <v>3735</v>
      </c>
      <c r="B53" s="1011"/>
      <c r="C53" s="1011"/>
      <c r="D53" s="1011"/>
      <c r="E53" s="1011"/>
      <c r="F53" s="1011"/>
      <c r="G53" s="1011"/>
    </row>
    <row r="54" spans="1:7" s="2341" customFormat="1" ht="41.25" customHeight="1">
      <c r="A54" s="2984" t="str">
        <f>'Part IV-A-Uses of Funds'!$C$103</f>
        <v>&lt;&lt; Enter description here; provide detail &amp; justification in tab Part IV-b &gt;&gt;</v>
      </c>
      <c r="B54" s="2985"/>
      <c r="C54" s="2985"/>
      <c r="D54" s="2986"/>
      <c r="F54" s="2978"/>
      <c r="G54" s="1011"/>
    </row>
    <row r="55" spans="1:7" s="2341" customFormat="1" ht="41.25" customHeight="1">
      <c r="A55" s="2975"/>
      <c r="B55" s="2976"/>
      <c r="C55" s="2976"/>
      <c r="D55" s="2977"/>
      <c r="E55" s="1011"/>
      <c r="F55" s="2979"/>
      <c r="G55" s="1011"/>
    </row>
    <row r="56" spans="1:7" s="2341" customFormat="1" ht="3" customHeight="1">
      <c r="A56" s="1011"/>
      <c r="B56" s="1011"/>
      <c r="C56" s="1011"/>
      <c r="D56" s="1011"/>
      <c r="E56" s="1011"/>
      <c r="F56" s="2979"/>
      <c r="G56" s="1011"/>
    </row>
    <row r="57" spans="1:7" s="2341" customFormat="1" ht="25.5">
      <c r="A57" s="1018" t="s">
        <v>3734</v>
      </c>
      <c r="B57" s="1017">
        <f>'Part IV-A-Uses of Funds'!$G$103</f>
        <v>0</v>
      </c>
      <c r="C57" s="1014"/>
      <c r="D57" s="1014"/>
      <c r="E57" s="1011"/>
      <c r="F57" s="2979"/>
      <c r="G57" s="1011"/>
    </row>
    <row r="58" spans="1:7" s="2341" customFormat="1" ht="3.75" customHeight="1">
      <c r="A58" s="1010"/>
      <c r="B58" s="1010"/>
      <c r="C58" s="1010"/>
      <c r="D58" s="1010"/>
      <c r="E58" s="1010"/>
      <c r="F58" s="2979"/>
      <c r="G58" s="1013"/>
    </row>
    <row r="59" spans="1:7" s="2341" customFormat="1" ht="41.25" customHeight="1">
      <c r="A59" s="2984" t="str">
        <f>'Part IV-A-Uses of Funds'!$C$104</f>
        <v>&lt;&lt; Enter description here; provide detail &amp; justification in tab Part IV-b &gt;&gt;</v>
      </c>
      <c r="B59" s="2985"/>
      <c r="C59" s="2985"/>
      <c r="D59" s="2986"/>
      <c r="F59" s="2979"/>
      <c r="G59" s="1011"/>
    </row>
    <row r="60" spans="1:7" s="2341" customFormat="1" ht="41.25" customHeight="1">
      <c r="A60" s="2975"/>
      <c r="B60" s="2976"/>
      <c r="C60" s="2976"/>
      <c r="D60" s="2977"/>
      <c r="E60" s="1011"/>
      <c r="F60" s="2979"/>
      <c r="G60" s="1011"/>
    </row>
    <row r="61" spans="1:7" s="2341" customFormat="1" ht="3" customHeight="1">
      <c r="A61" s="1011"/>
      <c r="B61" s="1011"/>
      <c r="C61" s="1011"/>
      <c r="D61" s="1011"/>
      <c r="E61" s="1011"/>
      <c r="F61" s="2979"/>
      <c r="G61" s="1011"/>
    </row>
    <row r="62" spans="1:7" s="2341" customFormat="1" ht="25.5">
      <c r="A62" s="1018" t="s">
        <v>3734</v>
      </c>
      <c r="B62" s="1017">
        <f>'Part IV-A-Uses of Funds'!$G$104</f>
        <v>0</v>
      </c>
      <c r="C62" s="1014"/>
      <c r="D62" s="1014"/>
      <c r="E62" s="1011"/>
      <c r="F62" s="2979"/>
      <c r="G62" s="1011"/>
    </row>
    <row r="63" spans="1:7" s="2341" customFormat="1" ht="3.75" customHeight="1">
      <c r="A63" s="1010"/>
      <c r="B63" s="1010"/>
      <c r="C63" s="1010"/>
      <c r="D63" s="1010"/>
      <c r="E63" s="1010"/>
      <c r="F63" s="2980"/>
      <c r="G63" s="1013"/>
    </row>
    <row r="64" spans="1:7" s="2341" customFormat="1">
      <c r="A64" s="1019" t="s">
        <v>3736</v>
      </c>
      <c r="B64" s="1011"/>
      <c r="C64" s="1011"/>
      <c r="D64" s="1011"/>
      <c r="E64" s="1011"/>
      <c r="F64" s="1011"/>
      <c r="G64" s="1011"/>
    </row>
    <row r="65" spans="1:8" s="2341" customFormat="1" ht="41.25" customHeight="1">
      <c r="A65" s="2984" t="str">
        <f>'Part IV-A-Uses of Funds'!$C$110</f>
        <v>&lt;&lt; Enter description here; provide detail &amp; justification in tab Part IV-b &gt;&gt;</v>
      </c>
      <c r="B65" s="2985"/>
      <c r="C65" s="2985"/>
      <c r="D65" s="2986"/>
      <c r="F65" s="2981"/>
      <c r="G65" s="1011"/>
    </row>
    <row r="66" spans="1:8" s="2341" customFormat="1" ht="41.25" customHeight="1">
      <c r="A66" s="2975"/>
      <c r="B66" s="2976"/>
      <c r="C66" s="2976"/>
      <c r="D66" s="2977"/>
      <c r="E66" s="1011"/>
      <c r="F66" s="2982"/>
      <c r="G66" s="1011"/>
    </row>
    <row r="67" spans="1:8" s="2341" customFormat="1" ht="3" customHeight="1">
      <c r="A67" s="1011"/>
      <c r="B67" s="1011"/>
      <c r="C67" s="1011"/>
      <c r="D67" s="1011"/>
      <c r="E67" s="1011"/>
      <c r="F67" s="2982"/>
      <c r="G67" s="1011"/>
    </row>
    <row r="68" spans="1:8" s="2341" customFormat="1" ht="25.5">
      <c r="A68" s="1018" t="s">
        <v>3734</v>
      </c>
      <c r="B68" s="1017">
        <f>'Part IV-A-Uses of Funds'!$G$110</f>
        <v>0</v>
      </c>
      <c r="C68" s="1014"/>
      <c r="D68" s="1014"/>
      <c r="E68" s="1011"/>
      <c r="F68" s="2982"/>
      <c r="G68" s="1011"/>
    </row>
    <row r="69" spans="1:8" s="2341" customFormat="1" ht="3.75" customHeight="1">
      <c r="A69" s="1011"/>
      <c r="B69" s="1012"/>
      <c r="C69" s="1011"/>
      <c r="D69" s="1011"/>
      <c r="E69" s="1011"/>
      <c r="F69" s="2983"/>
      <c r="G69" s="1013"/>
    </row>
    <row r="70" spans="1:8" s="2341" customFormat="1">
      <c r="A70" s="1019" t="s">
        <v>1321</v>
      </c>
      <c r="B70" s="1011"/>
      <c r="C70" s="1011"/>
      <c r="D70" s="1011"/>
      <c r="E70" s="1011"/>
      <c r="F70" s="1011"/>
      <c r="G70" s="1011"/>
    </row>
    <row r="71" spans="1:8" s="2341" customFormat="1" ht="41.25" customHeight="1">
      <c r="A71" s="2984" t="str">
        <f>'Part IV-A-Uses of Funds'!$C$125</f>
        <v>Security Systems</v>
      </c>
      <c r="B71" s="2985"/>
      <c r="C71" s="2985"/>
      <c r="D71" s="2986"/>
      <c r="F71" s="2981" t="s">
        <v>4592</v>
      </c>
      <c r="G71" s="1011"/>
      <c r="H71" s="2981" t="s">
        <v>4593</v>
      </c>
    </row>
    <row r="72" spans="1:8" s="2341" customFormat="1" ht="41.25" customHeight="1">
      <c r="A72" s="2975"/>
      <c r="B72" s="2976"/>
      <c r="C72" s="2976"/>
      <c r="D72" s="2977"/>
      <c r="E72" s="1011"/>
      <c r="F72" s="2982"/>
      <c r="G72" s="1011"/>
      <c r="H72" s="2982"/>
    </row>
    <row r="73" spans="1:8" s="2341" customFormat="1" ht="4.5" customHeight="1">
      <c r="A73" s="1011"/>
      <c r="B73" s="1011"/>
      <c r="C73" s="1011"/>
      <c r="D73" s="1011"/>
      <c r="E73" s="1011"/>
      <c r="F73" s="2982"/>
      <c r="G73" s="1011"/>
      <c r="H73" s="2982"/>
    </row>
    <row r="74" spans="1:8" s="2341" customFormat="1" ht="12.75" customHeight="1">
      <c r="A74" s="1018" t="s">
        <v>3734</v>
      </c>
      <c r="B74" s="1017">
        <f>'Part IV-A-Uses of Funds'!$G$125</f>
        <v>31363</v>
      </c>
      <c r="C74" s="1018" t="s">
        <v>1803</v>
      </c>
      <c r="D74" s="1017">
        <f>'Part IV-A-Uses of Funds'!$J$125+'Part IV-A-Uses of Funds'!$M$125+'Part IV-A-Uses of Funds'!$P$125</f>
        <v>31363</v>
      </c>
      <c r="E74" s="1011"/>
      <c r="F74" s="2982"/>
      <c r="G74" s="1011"/>
      <c r="H74" s="2982"/>
    </row>
    <row r="75" spans="1:8" s="2341" customFormat="1" ht="6" customHeight="1">
      <c r="A75" s="1011"/>
      <c r="B75" s="1012"/>
      <c r="C75" s="1011"/>
      <c r="D75" s="1011"/>
      <c r="E75" s="1011"/>
      <c r="F75" s="2983"/>
      <c r="G75" s="1013"/>
      <c r="H75" s="2983"/>
    </row>
    <row r="76" spans="1:8" s="2341" customFormat="1">
      <c r="A76" s="1019" t="s">
        <v>3737</v>
      </c>
      <c r="B76" s="1012"/>
      <c r="C76" s="1011"/>
      <c r="D76" s="1011"/>
      <c r="E76" s="1011"/>
      <c r="F76" s="1011"/>
      <c r="G76" s="1013"/>
    </row>
    <row r="77" spans="1:8" s="2341" customFormat="1" ht="41.25" customHeight="1">
      <c r="A77" s="2984" t="str">
        <f>'Part IV-A-Uses of Funds'!$C$129</f>
        <v>File Compliances Reviews</v>
      </c>
      <c r="B77" s="2985"/>
      <c r="C77" s="2985"/>
      <c r="D77" s="2986"/>
      <c r="F77" s="2981" t="s">
        <v>4594</v>
      </c>
      <c r="G77" s="1011"/>
      <c r="H77" s="2981" t="s">
        <v>4595</v>
      </c>
    </row>
    <row r="78" spans="1:8" s="2341" customFormat="1" ht="41.25" customHeight="1">
      <c r="A78" s="2975"/>
      <c r="B78" s="2976"/>
      <c r="C78" s="2976"/>
      <c r="D78" s="2977"/>
      <c r="E78" s="1011"/>
      <c r="F78" s="2982"/>
      <c r="G78" s="1011"/>
      <c r="H78" s="2982"/>
    </row>
    <row r="79" spans="1:8" s="2341" customFormat="1" ht="4.5" customHeight="1">
      <c r="A79" s="1011"/>
      <c r="B79" s="1011"/>
      <c r="C79" s="1011"/>
      <c r="D79" s="1011"/>
      <c r="E79" s="1011"/>
      <c r="F79" s="2982"/>
      <c r="G79" s="1011"/>
      <c r="H79" s="2982"/>
    </row>
    <row r="80" spans="1:8" s="2341" customFormat="1" ht="12.75" customHeight="1">
      <c r="A80" s="1018" t="s">
        <v>3734</v>
      </c>
      <c r="B80" s="1017">
        <f>'Part IV-A-Uses of Funds'!$G$129</f>
        <v>3000</v>
      </c>
      <c r="C80" s="1018" t="s">
        <v>1803</v>
      </c>
      <c r="D80" s="1017">
        <f>'Part IV-A-Uses of Funds'!$J$129+'Part IV-A-Uses of Funds'!$M$129+'Part IV-A-Uses of Funds'!$P$129</f>
        <v>0</v>
      </c>
      <c r="E80" s="1016"/>
      <c r="F80" s="2982"/>
      <c r="G80" s="1011"/>
      <c r="H80" s="2982"/>
    </row>
    <row r="81" spans="4:8" s="2341" customFormat="1" ht="6" customHeight="1">
      <c r="D81" s="1618"/>
      <c r="E81" s="2342"/>
      <c r="F81" s="2983"/>
      <c r="G81" s="1013"/>
      <c r="H81" s="2983"/>
    </row>
    <row r="82" spans="4:8" s="2341" customFormat="1"/>
    <row r="83" spans="4:8" s="2341" customFormat="1"/>
    <row r="84" spans="4:8" s="2341" customFormat="1"/>
    <row r="85" spans="4:8" s="2341" customFormat="1"/>
    <row r="86" spans="4:8" s="2341" customFormat="1"/>
    <row r="87" spans="4:8" s="2341" customFormat="1"/>
    <row r="88" spans="4:8" s="2341" customFormat="1"/>
    <row r="89" spans="4:8" s="2341" customFormat="1"/>
    <row r="90" spans="4:8" s="2341" customFormat="1"/>
    <row r="91" spans="4:8" s="2341" customFormat="1"/>
    <row r="92" spans="4:8" s="2341" customFormat="1"/>
  </sheetData>
  <sheetProtection algorithmName="SHA-512" hashValue="2o0zCPtKD48NHH5U0GUh+s+mL5anYk5YTcfxWGJbehctAZKBSPr/KzYEiGDd8sUfTPNxnWNfu08f6lbz1XARjg==" saltValue="bV2KT3HZHUZZNFzh2emEjg=="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topLeftCell="A31" zoomScale="120" zoomScaleNormal="120" workbookViewId="0">
      <selection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2987" t="str">
        <f>CONCATENATE("PART FIVE - UTILITY ALLOWANCES","  -  ",'Part I-Project Information'!$O$6," ",'Part I-Project Information'!$F$34,", ",'Part I-Project Information'!F38,", ",'Part I-Project Information'!J39," County")</f>
        <v>PART FIVE - UTILITY ALLOWANCES  -  2018-013 Tindall Fields III, Macon, Bibb County</v>
      </c>
      <c r="B1" s="2988"/>
      <c r="C1" s="2988"/>
      <c r="D1" s="2988"/>
      <c r="E1" s="2988"/>
      <c r="F1" s="2988"/>
      <c r="G1" s="2988"/>
      <c r="H1" s="2988"/>
      <c r="I1" s="2988"/>
      <c r="J1" s="2988"/>
      <c r="K1" s="2988"/>
      <c r="L1" s="2988"/>
      <c r="M1" s="2988"/>
      <c r="N1" s="10"/>
      <c r="O1" s="10"/>
      <c r="P1" s="10"/>
      <c r="Q1" s="10"/>
      <c r="R1" s="17"/>
      <c r="S1" s="17"/>
      <c r="T1" s="17"/>
    </row>
    <row r="2" spans="1:20" s="8" customFormat="1" ht="7.5" customHeight="1"/>
    <row r="3" spans="1:20" s="8" customFormat="1" ht="12.75" customHeight="1">
      <c r="F3" s="4" t="s">
        <v>520</v>
      </c>
      <c r="I3" s="1586" t="str">
        <f>VLOOKUP('Part I-Project Information'!$J$39,'DCA Underwriting Assumptions'!$G$155:$H$314,2)</f>
        <v>North</v>
      </c>
    </row>
    <row r="4" spans="1:20" s="8" customFormat="1" ht="6" customHeight="1"/>
    <row r="5" spans="1:20">
      <c r="A5" s="260" t="s">
        <v>3833</v>
      </c>
    </row>
    <row r="6" spans="1:20" ht="6" customHeight="1">
      <c r="A6" s="8"/>
    </row>
    <row r="7" spans="1:20" s="8" customFormat="1">
      <c r="A7" s="14" t="s">
        <v>622</v>
      </c>
      <c r="B7" s="14" t="s">
        <v>2243</v>
      </c>
      <c r="F7" s="8" t="s">
        <v>2536</v>
      </c>
      <c r="I7" s="2989" t="s">
        <v>4574</v>
      </c>
      <c r="J7" s="2990"/>
      <c r="K7" s="2990"/>
      <c r="L7" s="2990"/>
      <c r="M7" s="2991"/>
    </row>
    <row r="8" spans="1:20" s="8" customFormat="1" ht="13.15" customHeight="1">
      <c r="A8" s="14"/>
      <c r="F8" s="8" t="s">
        <v>642</v>
      </c>
      <c r="H8" s="28"/>
      <c r="I8" s="2992">
        <v>43101</v>
      </c>
      <c r="J8" s="2993"/>
      <c r="K8" s="63" t="s">
        <v>545</v>
      </c>
      <c r="L8" s="2994" t="s">
        <v>4589</v>
      </c>
      <c r="M8" s="2995"/>
    </row>
    <row r="9" spans="1:20" s="8" customFormat="1" ht="4.5" customHeight="1">
      <c r="A9" s="14"/>
    </row>
    <row r="10" spans="1:20" s="14" customFormat="1">
      <c r="B10" s="254"/>
      <c r="C10" s="254"/>
      <c r="D10" s="254"/>
      <c r="E10" s="254"/>
      <c r="F10" s="2996" t="s">
        <v>615</v>
      </c>
      <c r="G10" s="2996"/>
      <c r="I10" s="2997" t="s">
        <v>202</v>
      </c>
      <c r="J10" s="2997"/>
      <c r="K10" s="2997"/>
      <c r="L10" s="2997"/>
      <c r="M10" s="2997"/>
    </row>
    <row r="11" spans="1:20" s="14" customFormat="1">
      <c r="B11" s="254" t="s">
        <v>806</v>
      </c>
      <c r="D11" s="254" t="s">
        <v>1611</v>
      </c>
      <c r="F11" s="1582" t="s">
        <v>648</v>
      </c>
      <c r="G11" s="1582" t="s">
        <v>1864</v>
      </c>
      <c r="I11" s="255" t="s">
        <v>573</v>
      </c>
      <c r="J11" s="256">
        <v>1</v>
      </c>
      <c r="K11" s="256">
        <v>2</v>
      </c>
      <c r="L11" s="256">
        <v>3</v>
      </c>
      <c r="M11" s="256">
        <v>4</v>
      </c>
    </row>
    <row r="12" spans="1:20" s="8" customFormat="1" ht="12" customHeight="1">
      <c r="B12" s="1118" t="s">
        <v>1866</v>
      </c>
      <c r="C12" s="1119"/>
      <c r="D12" s="3007" t="s">
        <v>4588</v>
      </c>
      <c r="E12" s="3008"/>
      <c r="F12" s="2332" t="s">
        <v>443</v>
      </c>
      <c r="G12" s="2332"/>
      <c r="H12" s="1120"/>
      <c r="I12" s="2333"/>
      <c r="J12" s="2333"/>
      <c r="K12" s="2333">
        <v>13</v>
      </c>
      <c r="L12" s="2333">
        <v>16</v>
      </c>
      <c r="M12" s="2333"/>
      <c r="O12" s="2998" t="s">
        <v>3858</v>
      </c>
      <c r="P12" s="2998"/>
    </row>
    <row r="13" spans="1:20" s="8" customFormat="1" ht="12" customHeight="1">
      <c r="B13" s="1112" t="s">
        <v>1609</v>
      </c>
      <c r="C13" s="1109"/>
      <c r="D13" s="2999" t="s">
        <v>1608</v>
      </c>
      <c r="E13" s="3000"/>
      <c r="F13" s="2334" t="s">
        <v>443</v>
      </c>
      <c r="G13" s="2334"/>
      <c r="H13" s="1117"/>
      <c r="I13" s="2335"/>
      <c r="J13" s="2335"/>
      <c r="K13" s="2335">
        <v>12</v>
      </c>
      <c r="L13" s="2336">
        <v>13</v>
      </c>
      <c r="M13" s="2336"/>
      <c r="O13" s="2998"/>
      <c r="P13" s="2998"/>
    </row>
    <row r="14" spans="1:20" s="8" customFormat="1" ht="12" customHeight="1">
      <c r="B14" s="1115" t="s">
        <v>1610</v>
      </c>
      <c r="C14" s="1114"/>
      <c r="D14" s="2999" t="s">
        <v>1608</v>
      </c>
      <c r="E14" s="3000"/>
      <c r="F14" s="2334" t="s">
        <v>443</v>
      </c>
      <c r="G14" s="2334"/>
      <c r="H14" s="257"/>
      <c r="I14" s="2335"/>
      <c r="J14" s="2335"/>
      <c r="K14" s="2335">
        <v>23</v>
      </c>
      <c r="L14" s="2336">
        <v>36</v>
      </c>
      <c r="M14" s="2336"/>
      <c r="O14" s="2998"/>
      <c r="P14" s="2998"/>
    </row>
    <row r="15" spans="1:20" s="8" customFormat="1" ht="12" customHeight="1">
      <c r="B15" s="1110" t="s">
        <v>471</v>
      </c>
      <c r="C15" s="258"/>
      <c r="D15" s="1110" t="s">
        <v>1608</v>
      </c>
      <c r="E15" s="258"/>
      <c r="F15" s="2334" t="s">
        <v>443</v>
      </c>
      <c r="G15" s="2334"/>
      <c r="H15" s="1116"/>
      <c r="I15" s="2335"/>
      <c r="J15" s="2335"/>
      <c r="K15" s="2335">
        <v>20</v>
      </c>
      <c r="L15" s="2336">
        <v>25</v>
      </c>
      <c r="M15" s="2336"/>
      <c r="O15" s="2998"/>
      <c r="P15" s="2998"/>
    </row>
    <row r="16" spans="1:20" s="8" customFormat="1" ht="12" customHeight="1">
      <c r="B16" s="1111" t="s">
        <v>3830</v>
      </c>
      <c r="C16" s="1109"/>
      <c r="D16" s="1112" t="s">
        <v>1608</v>
      </c>
      <c r="E16" s="1109"/>
      <c r="F16" s="2334"/>
      <c r="G16" s="2334"/>
      <c r="H16" s="1117"/>
      <c r="I16" s="2335"/>
      <c r="J16" s="2335"/>
      <c r="K16" s="2335"/>
      <c r="L16" s="2336"/>
      <c r="M16" s="2336"/>
      <c r="O16" s="2998"/>
      <c r="P16" s="2998"/>
    </row>
    <row r="17" spans="1:19" s="8" customFormat="1" ht="12" customHeight="1">
      <c r="B17" s="1111" t="s">
        <v>3831</v>
      </c>
      <c r="C17" s="1109"/>
      <c r="D17" s="1112" t="s">
        <v>1608</v>
      </c>
      <c r="E17" s="1109"/>
      <c r="F17" s="2334"/>
      <c r="G17" s="2334"/>
      <c r="H17" s="1117"/>
      <c r="I17" s="2335"/>
      <c r="J17" s="2335"/>
      <c r="K17" s="2335"/>
      <c r="L17" s="2336"/>
      <c r="M17" s="2336"/>
      <c r="O17" s="2998"/>
      <c r="P17" s="2998"/>
    </row>
    <row r="18" spans="1:19" s="8" customFormat="1" ht="12" customHeight="1">
      <c r="B18" s="1113" t="s">
        <v>3832</v>
      </c>
      <c r="C18" s="1114"/>
      <c r="D18" s="1115" t="s">
        <v>1608</v>
      </c>
      <c r="E18" s="1109"/>
      <c r="F18" s="2334" t="s">
        <v>443</v>
      </c>
      <c r="G18" s="2334"/>
      <c r="H18" s="257"/>
      <c r="I18" s="2335"/>
      <c r="J18" s="2335"/>
      <c r="K18" s="2335">
        <v>34</v>
      </c>
      <c r="L18" s="2336">
        <v>39</v>
      </c>
      <c r="M18" s="2336"/>
      <c r="O18" s="2998"/>
      <c r="P18" s="2998"/>
    </row>
    <row r="19" spans="1:19" s="8" customFormat="1" ht="12" customHeight="1">
      <c r="B19" s="1110" t="s">
        <v>1382</v>
      </c>
      <c r="C19" s="258"/>
      <c r="D19" s="668" t="s">
        <v>3491</v>
      </c>
      <c r="E19" s="2337" t="s">
        <v>3010</v>
      </c>
      <c r="F19" s="2334" t="s">
        <v>443</v>
      </c>
      <c r="G19" s="2334"/>
      <c r="H19" s="1116"/>
      <c r="I19" s="2335"/>
      <c r="J19" s="2335"/>
      <c r="K19" s="2335">
        <v>45</v>
      </c>
      <c r="L19" s="2336">
        <v>63</v>
      </c>
      <c r="M19" s="2336"/>
      <c r="O19" s="2998"/>
      <c r="P19" s="2998"/>
    </row>
    <row r="20" spans="1:19" s="8" customFormat="1" ht="12" customHeight="1">
      <c r="B20" s="1121" t="s">
        <v>1865</v>
      </c>
      <c r="C20" s="231"/>
      <c r="D20" s="259"/>
      <c r="E20" s="231"/>
      <c r="F20" s="2338"/>
      <c r="G20" s="2338" t="s">
        <v>443</v>
      </c>
      <c r="H20" s="1122"/>
      <c r="I20" s="2339"/>
      <c r="J20" s="2339"/>
      <c r="K20" s="2339"/>
      <c r="L20" s="2340"/>
      <c r="M20" s="2340"/>
      <c r="O20" s="2998"/>
      <c r="P20" s="2998"/>
    </row>
    <row r="21" spans="1:19" s="8" customFormat="1">
      <c r="B21" s="254" t="s">
        <v>1030</v>
      </c>
      <c r="D21" s="28"/>
      <c r="E21" s="28"/>
      <c r="F21" s="83"/>
      <c r="G21" s="83"/>
      <c r="I21" s="1582">
        <f>IF(SUM(I12:I20)=0,0,IF(OR($D12="&lt;&lt;Select Fuel &gt;&gt;",$D13="&lt;&lt;Select Fuel &gt;&gt;",$D14="&lt;&lt;Select Fuel &gt;&gt;"),"Select Fuel",IF($E19="&lt;Select&gt;","Submeter?",SUM(I12:I20))))</f>
        <v>0</v>
      </c>
      <c r="J21" s="1582">
        <f>IF(SUM(J12:J20)=0,0,IF(OR($D12="&lt;&lt;Select Fuel &gt;&gt;",$D13="&lt;&lt;Select Fuel &gt;&gt;",$D14="&lt;&lt;Select Fuel &gt;&gt;"),"Select Fuel",IF($E19="&lt;Select&gt;","Submeter?",SUM(J12:J20))))</f>
        <v>0</v>
      </c>
      <c r="K21" s="1582">
        <f>IF(SUM(K12:K20)=0,0,IF(OR($D12="&lt;&lt;Select Fuel &gt;&gt;",$D13="&lt;&lt;Select Fuel &gt;&gt;",$D14="&lt;&lt;Select Fuel &gt;&gt;"),"Select Fuel",IF($E19="&lt;Select&gt;","Submeter?",SUM(K12:K20))))</f>
        <v>147</v>
      </c>
      <c r="L21" s="1582">
        <f>IF(SUM(L12:L20)=0,0,IF(OR($D12="&lt;&lt;Select Fuel &gt;&gt;",$D13="&lt;&lt;Select Fuel &gt;&gt;",$D14="&lt;&lt;Select Fuel &gt;&gt;"),"Select Fuel",IF($E19="&lt;Select&gt;","Submeter?",SUM(L12:L20))))</f>
        <v>192</v>
      </c>
      <c r="M21" s="1582">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2244</v>
      </c>
      <c r="F23" s="8" t="s">
        <v>2536</v>
      </c>
      <c r="I23" s="2989"/>
      <c r="J23" s="2990"/>
      <c r="K23" s="2990"/>
      <c r="L23" s="2990"/>
      <c r="M23" s="2991"/>
    </row>
    <row r="24" spans="1:19" s="8" customFormat="1" ht="13.15" customHeight="1">
      <c r="A24" s="14"/>
      <c r="B24" s="14"/>
      <c r="F24" s="8" t="s">
        <v>642</v>
      </c>
      <c r="H24" s="28"/>
      <c r="I24" s="2992"/>
      <c r="J24" s="2993"/>
      <c r="K24" s="63" t="s">
        <v>545</v>
      </c>
      <c r="L24" s="2994"/>
      <c r="M24" s="2995"/>
    </row>
    <row r="25" spans="1:19" s="8" customFormat="1" ht="4.5" customHeight="1">
      <c r="A25" s="14"/>
    </row>
    <row r="26" spans="1:19" s="14" customFormat="1">
      <c r="B26" s="254"/>
      <c r="C26" s="254"/>
      <c r="D26" s="254"/>
      <c r="E26" s="254"/>
      <c r="F26" s="2996" t="s">
        <v>615</v>
      </c>
      <c r="G26" s="2996"/>
      <c r="I26" s="2997" t="s">
        <v>202</v>
      </c>
      <c r="J26" s="2997"/>
      <c r="K26" s="2997"/>
      <c r="L26" s="2997"/>
      <c r="M26" s="2997"/>
    </row>
    <row r="27" spans="1:19" s="14" customFormat="1">
      <c r="B27" s="254" t="s">
        <v>806</v>
      </c>
      <c r="D27" s="254" t="s">
        <v>1611</v>
      </c>
      <c r="F27" s="1582" t="s">
        <v>648</v>
      </c>
      <c r="G27" s="1582" t="s">
        <v>1864</v>
      </c>
      <c r="I27" s="255" t="s">
        <v>573</v>
      </c>
      <c r="J27" s="256">
        <v>1</v>
      </c>
      <c r="K27" s="256">
        <v>2</v>
      </c>
      <c r="L27" s="256">
        <v>3</v>
      </c>
      <c r="M27" s="256">
        <v>4</v>
      </c>
    </row>
    <row r="28" spans="1:19" s="8" customFormat="1" ht="12" customHeight="1">
      <c r="B28" s="1118" t="s">
        <v>1866</v>
      </c>
      <c r="C28" s="1119"/>
      <c r="D28" s="3007" t="s">
        <v>1833</v>
      </c>
      <c r="E28" s="3008"/>
      <c r="F28" s="2332"/>
      <c r="G28" s="2332"/>
      <c r="H28" s="1120"/>
      <c r="I28" s="2333"/>
      <c r="J28" s="2333"/>
      <c r="K28" s="2333"/>
      <c r="L28" s="2333"/>
      <c r="M28" s="2333"/>
      <c r="O28" s="2998" t="s">
        <v>3858</v>
      </c>
      <c r="P28" s="2998"/>
    </row>
    <row r="29" spans="1:19" s="8" customFormat="1" ht="12" customHeight="1">
      <c r="B29" s="1112" t="s">
        <v>1609</v>
      </c>
      <c r="C29" s="1109"/>
      <c r="D29" s="2999" t="s">
        <v>1833</v>
      </c>
      <c r="E29" s="3000"/>
      <c r="F29" s="2334"/>
      <c r="G29" s="2334"/>
      <c r="H29" s="1117"/>
      <c r="I29" s="2335"/>
      <c r="J29" s="2335"/>
      <c r="K29" s="2335"/>
      <c r="L29" s="2336"/>
      <c r="M29" s="2336"/>
      <c r="O29" s="2998"/>
      <c r="P29" s="2998"/>
    </row>
    <row r="30" spans="1:19" s="8" customFormat="1" ht="12" customHeight="1">
      <c r="B30" s="1115" t="s">
        <v>1610</v>
      </c>
      <c r="C30" s="1114"/>
      <c r="D30" s="2999" t="s">
        <v>1833</v>
      </c>
      <c r="E30" s="3000"/>
      <c r="F30" s="2334"/>
      <c r="G30" s="2334"/>
      <c r="H30" s="257"/>
      <c r="I30" s="2335"/>
      <c r="J30" s="2335"/>
      <c r="K30" s="2335"/>
      <c r="L30" s="2336"/>
      <c r="M30" s="2336"/>
      <c r="O30" s="2998"/>
      <c r="P30" s="2998"/>
    </row>
    <row r="31" spans="1:19" s="8" customFormat="1" ht="12" customHeight="1">
      <c r="B31" s="1110" t="s">
        <v>471</v>
      </c>
      <c r="C31" s="258"/>
      <c r="D31" s="1110" t="s">
        <v>1608</v>
      </c>
      <c r="E31" s="258"/>
      <c r="F31" s="2334"/>
      <c r="G31" s="2334"/>
      <c r="H31" s="1116"/>
      <c r="I31" s="2335"/>
      <c r="J31" s="2335"/>
      <c r="K31" s="2335"/>
      <c r="L31" s="2336"/>
      <c r="M31" s="2336"/>
      <c r="O31" s="2998"/>
      <c r="P31" s="2998"/>
    </row>
    <row r="32" spans="1:19" s="8" customFormat="1" ht="12" customHeight="1">
      <c r="B32" s="1111" t="s">
        <v>3830</v>
      </c>
      <c r="C32" s="1109"/>
      <c r="D32" s="1112" t="s">
        <v>1608</v>
      </c>
      <c r="E32" s="1109"/>
      <c r="F32" s="2334"/>
      <c r="G32" s="2334"/>
      <c r="H32" s="1117"/>
      <c r="I32" s="2335"/>
      <c r="J32" s="2335"/>
      <c r="K32" s="2335"/>
      <c r="L32" s="2336"/>
      <c r="M32" s="2336"/>
      <c r="O32" s="2998"/>
      <c r="P32" s="2998"/>
    </row>
    <row r="33" spans="1:19" s="8" customFormat="1" ht="12" customHeight="1">
      <c r="B33" s="1111" t="s">
        <v>3831</v>
      </c>
      <c r="C33" s="1109"/>
      <c r="D33" s="1112" t="s">
        <v>1608</v>
      </c>
      <c r="E33" s="1109"/>
      <c r="F33" s="2334"/>
      <c r="G33" s="2334"/>
      <c r="H33" s="1117"/>
      <c r="I33" s="2335"/>
      <c r="J33" s="2335"/>
      <c r="K33" s="2335"/>
      <c r="L33" s="2336"/>
      <c r="M33" s="2336"/>
      <c r="O33" s="2998"/>
      <c r="P33" s="2998"/>
    </row>
    <row r="34" spans="1:19" s="8" customFormat="1" ht="12" customHeight="1">
      <c r="B34" s="1113" t="s">
        <v>3832</v>
      </c>
      <c r="C34" s="1114"/>
      <c r="D34" s="1115" t="s">
        <v>1608</v>
      </c>
      <c r="E34" s="1109"/>
      <c r="F34" s="2334"/>
      <c r="G34" s="2334"/>
      <c r="H34" s="257"/>
      <c r="I34" s="2335"/>
      <c r="J34" s="2335"/>
      <c r="K34" s="2335"/>
      <c r="L34" s="2336"/>
      <c r="M34" s="2336"/>
      <c r="O34" s="2998"/>
      <c r="P34" s="2998"/>
    </row>
    <row r="35" spans="1:19" s="8" customFormat="1" ht="12" customHeight="1">
      <c r="B35" s="1110" t="s">
        <v>1382</v>
      </c>
      <c r="C35" s="258"/>
      <c r="D35" s="668" t="s">
        <v>3491</v>
      </c>
      <c r="E35" s="2337" t="s">
        <v>203</v>
      </c>
      <c r="F35" s="2334"/>
      <c r="G35" s="2334"/>
      <c r="H35" s="1116"/>
      <c r="I35" s="2335"/>
      <c r="J35" s="2335"/>
      <c r="K35" s="2335"/>
      <c r="L35" s="2336"/>
      <c r="M35" s="2336"/>
      <c r="O35" s="2998"/>
      <c r="P35" s="2998"/>
    </row>
    <row r="36" spans="1:19" s="8" customFormat="1" ht="12" customHeight="1">
      <c r="B36" s="1121" t="s">
        <v>1865</v>
      </c>
      <c r="C36" s="231"/>
      <c r="D36" s="259"/>
      <c r="E36" s="231"/>
      <c r="F36" s="2338"/>
      <c r="G36" s="2338"/>
      <c r="H36" s="1122"/>
      <c r="I36" s="2339"/>
      <c r="J36" s="2339"/>
      <c r="K36" s="2339"/>
      <c r="L36" s="2340"/>
      <c r="M36" s="2340"/>
      <c r="O36" s="2998"/>
      <c r="P36" s="2998"/>
    </row>
    <row r="37" spans="1:19" s="8" customFormat="1">
      <c r="B37" s="254" t="s">
        <v>1030</v>
      </c>
      <c r="D37" s="28"/>
      <c r="E37" s="28"/>
      <c r="F37" s="83"/>
      <c r="G37" s="83"/>
      <c r="I37" s="1582">
        <f>IF(SUM(I28:I36)=0,0,IF(OR($D28="&lt;&lt;Select Fuel &gt;&gt;",$D30="&lt;&lt;Select Fuel &gt;&gt;",$D31="&lt;&lt;Select Fuel &gt;&gt;"),"Select Fuel",IF($E35="&lt;Select&gt;","Submeter?",SUM(I28:I36))))</f>
        <v>0</v>
      </c>
      <c r="J37" s="1582">
        <f>IF(SUM(J28:J36)=0,0,IF(OR($D28="&lt;&lt;Select Fuel &gt;&gt;",$D30="&lt;&lt;Select Fuel &gt;&gt;",$D31="&lt;&lt;Select Fuel &gt;&gt;"),"Select Fuel",IF($E35="&lt;Select&gt;","Submeter?",SUM(J28:J36))))</f>
        <v>0</v>
      </c>
      <c r="K37" s="1582">
        <f>IF(SUM(K28:K36)=0,0,IF(OR($D28="&lt;&lt;Select Fuel &gt;&gt;",$D30="&lt;&lt;Select Fuel &gt;&gt;",$D31="&lt;&lt;Select Fuel &gt;&gt;"),"Select Fuel",IF($E35="&lt;Select&gt;","Submeter?",SUM(K28:K36))))</f>
        <v>0</v>
      </c>
      <c r="L37" s="1582">
        <f>IF(SUM(L28:L36)=0,0,IF(OR($D28="&lt;&lt;Select Fuel &gt;&gt;",$D30="&lt;&lt;Select Fuel &gt;&gt;",$D31="&lt;&lt;Select Fuel &gt;&gt;"),"Select Fuel",IF($E35="&lt;Select&gt;","Submeter?",SUM(L28:L36))))</f>
        <v>0</v>
      </c>
      <c r="M37" s="1582">
        <f>IF(SUM(M28:M36)=0,0,IF(OR($D28="&lt;&lt;Select Fuel &gt;&gt;",$D30="&lt;&lt;Select Fuel &gt;&gt;",$D31="&lt;&lt;Select Fuel &gt;&gt;"),"Select Fuel",IF($E35="&lt;Select&gt;","Submeter?",SUM(M28:M36))))</f>
        <v>0</v>
      </c>
    </row>
    <row r="38" spans="1:19" ht="6" customHeight="1">
      <c r="A38" s="8"/>
    </row>
    <row r="39" spans="1:19" s="8" customFormat="1">
      <c r="B39" s="446" t="s">
        <v>3492</v>
      </c>
      <c r="D39" s="28"/>
      <c r="E39" s="28"/>
      <c r="F39" s="83"/>
      <c r="G39" s="83"/>
      <c r="I39" s="1582"/>
      <c r="J39" s="1582"/>
      <c r="K39" s="1582"/>
      <c r="L39" s="1582"/>
      <c r="M39" s="1582"/>
    </row>
    <row r="40" spans="1:19" s="8" customFormat="1" ht="12" customHeight="1">
      <c r="A40" s="14"/>
      <c r="B40" s="14" t="s">
        <v>577</v>
      </c>
      <c r="M40" s="28"/>
      <c r="N40" s="28"/>
      <c r="O40" s="28"/>
      <c r="P40" s="28"/>
      <c r="Q40" s="28"/>
      <c r="R40" s="28"/>
      <c r="S40" s="28"/>
    </row>
    <row r="41" spans="1:19" s="8" customFormat="1" ht="24.75" customHeight="1">
      <c r="B41" s="3001" t="s">
        <v>4722</v>
      </c>
      <c r="C41" s="3002"/>
      <c r="D41" s="3002"/>
      <c r="E41" s="3002"/>
      <c r="F41" s="3002"/>
      <c r="G41" s="3002"/>
      <c r="H41" s="3002"/>
      <c r="I41" s="3002"/>
      <c r="J41" s="3002"/>
      <c r="K41" s="3002"/>
      <c r="L41" s="3002"/>
      <c r="M41" s="3003"/>
      <c r="N41" s="28"/>
      <c r="O41" s="2433" t="s">
        <v>2710</v>
      </c>
      <c r="P41" s="2433"/>
      <c r="Q41" s="2433"/>
      <c r="R41" s="2433"/>
      <c r="S41" s="2433"/>
    </row>
    <row r="42" spans="1:19" s="8" customFormat="1" ht="3" customHeight="1">
      <c r="M42" s="28"/>
      <c r="N42" s="28"/>
      <c r="O42" s="2433"/>
      <c r="P42" s="2433"/>
      <c r="Q42" s="2433"/>
      <c r="R42" s="2433"/>
      <c r="S42" s="2433"/>
    </row>
    <row r="43" spans="1:19" s="8" customFormat="1" ht="12" customHeight="1">
      <c r="A43" s="14"/>
      <c r="B43" s="14" t="s">
        <v>1859</v>
      </c>
      <c r="M43" s="28"/>
      <c r="N43" s="28"/>
      <c r="O43" s="2433"/>
      <c r="P43" s="2433"/>
      <c r="Q43" s="2433"/>
      <c r="R43" s="2433"/>
      <c r="S43" s="2433"/>
    </row>
    <row r="44" spans="1:19" s="8" customFormat="1" ht="24.75" customHeight="1">
      <c r="B44" s="3004"/>
      <c r="C44" s="3005"/>
      <c r="D44" s="3005"/>
      <c r="E44" s="3005"/>
      <c r="F44" s="3005"/>
      <c r="G44" s="3005"/>
      <c r="H44" s="3005"/>
      <c r="I44" s="3005"/>
      <c r="J44" s="3005"/>
      <c r="K44" s="3005"/>
      <c r="L44" s="3005"/>
      <c r="M44" s="3006"/>
      <c r="N44" s="28"/>
      <c r="O44" s="2433"/>
      <c r="P44" s="2433"/>
      <c r="Q44" s="2433"/>
      <c r="R44" s="2433"/>
      <c r="S44" s="2433"/>
    </row>
  </sheetData>
  <sheetProtection algorithmName="SHA-512" hashValue="k5yfgoyWxO1dD5I6ZIE2pgR6uMuuoCTD5jeKJZMbp3659eMYCb2iLLz+mUzZcrjFxnEJdWTLaZfnGFIQJ1GJow==" saltValue="Tpvik9QsCkBLW3FtZza6CA==" spinCount="100000" sheet="1" objects="1" scenarios="1" formatRows="0"/>
  <mergeCells count="22">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 ref="A1:M1"/>
    <mergeCell ref="I7:M7"/>
    <mergeCell ref="I8:J8"/>
    <mergeCell ref="L8:M8"/>
    <mergeCell ref="F10:G10"/>
    <mergeCell ref="I10:M10"/>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2018-05-23T22:32:59Z</cp:lastPrinted>
  <dcterms:created xsi:type="dcterms:W3CDTF">2005-09-15T20:51:37Z</dcterms:created>
  <dcterms:modified xsi:type="dcterms:W3CDTF">2018-08-29T16:22:08Z</dcterms:modified>
</cp:coreProperties>
</file>